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udio\Desktop\000_Ordine\Progetti\2015_TechReh\0000_ORAL-Budget clarification\0000_INVIATO\21Nov2017_InviatoDopoCorrezioniVeroniqueDelhine\CARICATO SUL SITO\"/>
    </mc:Choice>
  </mc:AlternateContent>
  <bookViews>
    <workbookView xWindow="0" yWindow="0" windowWidth="20490" windowHeight="7020"/>
  </bookViews>
  <sheets>
    <sheet name="Summary" sheetId="1" r:id="rId1"/>
    <sheet name="Payment Order-COAN" sheetId="6" r:id="rId2"/>
    <sheet name="TRAVEL DETAILS" sheetId="7" r:id="rId3"/>
  </sheets>
  <externalReferences>
    <externalReference r:id="rId4"/>
  </externalReferences>
  <definedNames>
    <definedName name="PartnerN°">'[1]Final financial statement'!$B$23:$B$77</definedName>
    <definedName name="WorkPackage">[1]Rates!$J$3:$J$7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8" i="1"/>
  <c r="C9" i="1"/>
  <c r="AI3" i="1"/>
  <c r="AI8" i="1"/>
  <c r="AI9" i="1"/>
  <c r="G8" i="1"/>
  <c r="G9" i="1"/>
  <c r="D11" i="1"/>
  <c r="E11" i="1"/>
  <c r="C11" i="1"/>
  <c r="AU4" i="1"/>
  <c r="AQ4" i="1"/>
  <c r="AM4" i="1"/>
  <c r="AI4" i="1"/>
  <c r="AE4" i="1"/>
  <c r="AA4" i="1"/>
  <c r="C6" i="1"/>
  <c r="C4" i="1"/>
  <c r="AV16" i="7"/>
  <c r="AV17" i="7"/>
  <c r="AV18" i="7"/>
  <c r="AR16" i="7"/>
  <c r="AR17" i="7"/>
  <c r="AR18" i="7"/>
  <c r="AN16" i="7"/>
  <c r="AN17" i="7"/>
  <c r="AN18" i="7"/>
  <c r="AJ16" i="7"/>
  <c r="AJ17" i="7"/>
  <c r="AJ18" i="7"/>
  <c r="AF16" i="7"/>
  <c r="AF17" i="7"/>
  <c r="AF18" i="7"/>
  <c r="AB16" i="7"/>
  <c r="AB17" i="7"/>
  <c r="AB18" i="7"/>
  <c r="AV10" i="7"/>
  <c r="AR10" i="7"/>
  <c r="AN10" i="7"/>
  <c r="AJ13" i="7"/>
  <c r="AJ10" i="7"/>
  <c r="AB10" i="7"/>
  <c r="AB3" i="7"/>
  <c r="AV19" i="7"/>
  <c r="AR19" i="7"/>
  <c r="AN19" i="7"/>
  <c r="AJ19" i="7"/>
  <c r="AF19" i="7"/>
  <c r="AB19" i="7"/>
  <c r="AB4" i="7"/>
  <c r="AB5" i="7"/>
  <c r="AB6" i="7"/>
  <c r="AB14" i="7"/>
  <c r="AF3" i="7"/>
  <c r="AF4" i="7"/>
  <c r="AF5" i="7"/>
  <c r="AF6" i="7"/>
  <c r="AF10" i="7"/>
  <c r="AF14" i="7"/>
  <c r="AJ3" i="7"/>
  <c r="AJ4" i="7"/>
  <c r="AJ5" i="7"/>
  <c r="AJ6" i="7"/>
  <c r="AJ14" i="7"/>
  <c r="AN3" i="7"/>
  <c r="AN4" i="7"/>
  <c r="AN5" i="7"/>
  <c r="AN6" i="7"/>
  <c r="AN14" i="7"/>
  <c r="AR3" i="7"/>
  <c r="AR4" i="7"/>
  <c r="AR5" i="7"/>
  <c r="AR6" i="7"/>
  <c r="AR14" i="7"/>
  <c r="AV3" i="7"/>
  <c r="AV4" i="7"/>
  <c r="AV5" i="7"/>
  <c r="AV6" i="7"/>
  <c r="AV14" i="7"/>
  <c r="F25" i="6"/>
  <c r="H25" i="6"/>
  <c r="T25" i="6"/>
  <c r="S25" i="6"/>
  <c r="R25" i="6"/>
  <c r="Q25" i="6"/>
  <c r="O25" i="6"/>
  <c r="P25" i="6"/>
  <c r="P40" i="6"/>
  <c r="U18" i="6"/>
  <c r="V18" i="6"/>
  <c r="U19" i="6"/>
  <c r="V19" i="6"/>
  <c r="I20" i="6"/>
  <c r="U20" i="6"/>
  <c r="V20" i="6"/>
  <c r="I21" i="6"/>
  <c r="U21" i="6"/>
  <c r="V21" i="6"/>
  <c r="I24" i="6"/>
  <c r="U24" i="6"/>
  <c r="V24" i="6"/>
  <c r="E27" i="6"/>
  <c r="F27" i="6"/>
  <c r="I27" i="6"/>
  <c r="U27" i="6"/>
  <c r="V27" i="6"/>
  <c r="U25" i="6"/>
  <c r="V25" i="6"/>
  <c r="E29" i="6"/>
  <c r="F29" i="6"/>
  <c r="I29" i="6"/>
  <c r="U29" i="6"/>
  <c r="V29" i="6"/>
  <c r="U30" i="6"/>
  <c r="V30" i="6"/>
  <c r="U31" i="6"/>
  <c r="V31" i="6"/>
  <c r="Q32" i="6"/>
  <c r="U32" i="6"/>
  <c r="V32" i="6"/>
  <c r="Q33" i="6"/>
  <c r="U33" i="6"/>
  <c r="V33" i="6"/>
  <c r="Q34" i="6"/>
  <c r="U34" i="6"/>
  <c r="V34" i="6"/>
  <c r="Q35" i="6"/>
  <c r="U35" i="6"/>
  <c r="V35" i="6"/>
  <c r="Q36" i="6"/>
  <c r="U36" i="6"/>
  <c r="V36" i="6"/>
  <c r="Q37" i="6"/>
  <c r="U37" i="6"/>
  <c r="V37" i="6"/>
  <c r="Q38" i="6"/>
  <c r="U38" i="6"/>
  <c r="V38" i="6"/>
  <c r="Q39" i="6"/>
  <c r="U39" i="6"/>
  <c r="V39" i="6"/>
  <c r="U40" i="6"/>
  <c r="V40" i="6"/>
  <c r="S41" i="6"/>
  <c r="U41" i="6"/>
  <c r="V41" i="6"/>
  <c r="T42" i="6"/>
  <c r="U42" i="6"/>
  <c r="V42" i="6"/>
  <c r="U43" i="6"/>
  <c r="V43" i="6"/>
  <c r="U44" i="6"/>
  <c r="V44" i="6"/>
  <c r="I45" i="6"/>
  <c r="U45" i="6"/>
  <c r="V45" i="6"/>
  <c r="I46" i="6"/>
  <c r="U46" i="6"/>
  <c r="V46" i="6"/>
  <c r="I47" i="6"/>
  <c r="U47" i="6"/>
  <c r="V47" i="6"/>
  <c r="I48" i="6"/>
  <c r="U48" i="6"/>
  <c r="V48" i="6"/>
  <c r="I49" i="6"/>
  <c r="U49" i="6"/>
  <c r="V49" i="6"/>
  <c r="I50" i="6"/>
  <c r="U50" i="6"/>
  <c r="V50" i="6"/>
  <c r="I51" i="6"/>
  <c r="U51" i="6"/>
  <c r="V51" i="6"/>
  <c r="I52" i="6"/>
  <c r="U52" i="6"/>
  <c r="V52" i="6"/>
  <c r="I53" i="6"/>
  <c r="U53" i="6"/>
  <c r="V53" i="6"/>
  <c r="I54" i="6"/>
  <c r="U54" i="6"/>
  <c r="V54" i="6"/>
  <c r="I55" i="6"/>
  <c r="U55" i="6"/>
  <c r="V55" i="6"/>
  <c r="I56" i="6"/>
  <c r="U56" i="6"/>
  <c r="V56" i="6"/>
  <c r="L57" i="6"/>
  <c r="U57" i="6"/>
  <c r="V57" i="6"/>
  <c r="O60" i="6"/>
  <c r="P60" i="6"/>
  <c r="Q60" i="6"/>
  <c r="R60" i="6"/>
  <c r="U60" i="6"/>
  <c r="V60" i="6"/>
  <c r="I61" i="6"/>
  <c r="U61" i="6"/>
  <c r="V61" i="6"/>
  <c r="I17" i="6"/>
  <c r="T17" i="6"/>
  <c r="S17" i="6"/>
  <c r="R17" i="6"/>
  <c r="Q17" i="6"/>
  <c r="P17" i="6"/>
  <c r="O17" i="6"/>
  <c r="N17" i="6"/>
  <c r="I13" i="6"/>
  <c r="U13" i="6"/>
  <c r="V13" i="6"/>
  <c r="I15" i="6"/>
  <c r="U15" i="6"/>
  <c r="V15" i="6"/>
  <c r="U17" i="6"/>
  <c r="F17" i="6"/>
  <c r="V17" i="6"/>
  <c r="I11" i="6"/>
  <c r="U11" i="6"/>
  <c r="V11" i="6"/>
  <c r="I12" i="6"/>
  <c r="U12" i="6"/>
  <c r="V12" i="6"/>
  <c r="N5" i="6"/>
  <c r="U5" i="6"/>
  <c r="V5" i="6"/>
  <c r="M6" i="6"/>
  <c r="U6" i="6"/>
  <c r="V6" i="6"/>
  <c r="L7" i="6"/>
  <c r="U7" i="6"/>
  <c r="V7" i="6"/>
  <c r="J8" i="6"/>
  <c r="U8" i="6"/>
  <c r="V8" i="6"/>
  <c r="K9" i="6"/>
  <c r="U9" i="6"/>
  <c r="V9" i="6"/>
  <c r="O23" i="6"/>
  <c r="P23" i="6"/>
  <c r="Q23" i="6"/>
  <c r="R23" i="6"/>
  <c r="S23" i="6"/>
  <c r="T23" i="6"/>
  <c r="U23" i="6"/>
  <c r="V23" i="6"/>
  <c r="E3" i="6"/>
  <c r="F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F4" i="6"/>
  <c r="H4" i="6"/>
  <c r="O4" i="6"/>
  <c r="P4" i="6"/>
  <c r="Q4" i="6"/>
  <c r="R4" i="6"/>
  <c r="S4" i="6"/>
  <c r="T4" i="6"/>
  <c r="U4" i="6"/>
  <c r="E2" i="6"/>
  <c r="F2" i="6"/>
  <c r="H2" i="6"/>
  <c r="O2" i="6"/>
  <c r="P2" i="6"/>
  <c r="Q2" i="6"/>
  <c r="R2" i="6"/>
  <c r="S2" i="6"/>
  <c r="T2" i="6"/>
  <c r="U2" i="6"/>
  <c r="V4" i="6"/>
  <c r="V3" i="6"/>
  <c r="V2" i="6"/>
  <c r="D17" i="6"/>
  <c r="O3" i="1"/>
  <c r="W7" i="1"/>
  <c r="V4" i="1"/>
  <c r="V8" i="1"/>
  <c r="V9" i="1"/>
  <c r="W10" i="1"/>
  <c r="AA3" i="1"/>
  <c r="AA5" i="1"/>
  <c r="AA8" i="1"/>
  <c r="AA9" i="1"/>
  <c r="Z4" i="1"/>
  <c r="Z8" i="1"/>
  <c r="Z9" i="1"/>
  <c r="AA10" i="1"/>
  <c r="AE3" i="1"/>
  <c r="AE5" i="1"/>
  <c r="AE8" i="1"/>
  <c r="AE9" i="1"/>
  <c r="AD4" i="1"/>
  <c r="AD8" i="1"/>
  <c r="AD9" i="1"/>
  <c r="AE10" i="1"/>
  <c r="S4" i="1"/>
  <c r="S7" i="1"/>
  <c r="R4" i="1"/>
  <c r="R8" i="1"/>
  <c r="R9" i="1"/>
  <c r="S10" i="1"/>
  <c r="O4" i="1"/>
  <c r="O7" i="1"/>
  <c r="N4" i="1"/>
  <c r="N8" i="1"/>
  <c r="N9" i="1"/>
  <c r="O10" i="1"/>
  <c r="K4" i="1"/>
  <c r="K7" i="1"/>
  <c r="J4" i="1"/>
  <c r="J8" i="1"/>
  <c r="J9" i="1"/>
  <c r="K10" i="1"/>
  <c r="G7" i="1"/>
  <c r="F4" i="1"/>
  <c r="F8" i="1"/>
  <c r="F9" i="1"/>
  <c r="G10" i="1"/>
  <c r="AT4" i="1"/>
  <c r="AT8" i="1"/>
  <c r="AT9" i="1"/>
  <c r="AP4" i="1"/>
  <c r="AP8" i="1"/>
  <c r="AP9" i="1"/>
  <c r="AH4" i="1"/>
  <c r="AH8" i="1"/>
  <c r="AH9" i="1"/>
  <c r="K8" i="1"/>
  <c r="K9" i="1"/>
  <c r="M9" i="1"/>
  <c r="I9" i="1"/>
  <c r="B4" i="1"/>
  <c r="B8" i="1"/>
  <c r="B9" i="1"/>
  <c r="S8" i="1"/>
  <c r="S9" i="1"/>
  <c r="W8" i="1"/>
  <c r="W9" i="1"/>
  <c r="O8" i="1"/>
  <c r="O9" i="1"/>
  <c r="Q4" i="1"/>
  <c r="M4" i="1"/>
  <c r="I4" i="1"/>
  <c r="E3" i="1"/>
  <c r="E6" i="1"/>
  <c r="E5" i="1"/>
  <c r="I6" i="1"/>
  <c r="I5" i="1"/>
  <c r="M6" i="1"/>
  <c r="M5" i="1"/>
  <c r="Q6" i="1"/>
  <c r="Q5" i="1"/>
  <c r="U6" i="1"/>
  <c r="U5" i="1"/>
  <c r="U4" i="1"/>
  <c r="Y4" i="1"/>
  <c r="Y5" i="1"/>
  <c r="Y6" i="1"/>
  <c r="Y9" i="1"/>
  <c r="U9" i="1"/>
  <c r="Q9" i="1"/>
  <c r="Q8" i="1"/>
  <c r="AI6" i="1"/>
  <c r="AW6" i="1"/>
  <c r="AW5" i="1"/>
  <c r="AS6" i="1"/>
  <c r="AS5" i="1"/>
  <c r="AO6" i="1"/>
  <c r="AO3" i="1"/>
  <c r="AK6" i="1"/>
  <c r="AC6" i="1"/>
  <c r="AG6" i="1"/>
  <c r="AL4" i="1"/>
  <c r="AQ3" i="1"/>
  <c r="AU3" i="1"/>
  <c r="AW3" i="1"/>
  <c r="AC3" i="1"/>
  <c r="AS3" i="1"/>
  <c r="AC5" i="1"/>
  <c r="AG5" i="1"/>
  <c r="AI5" i="1"/>
  <c r="AK5" i="1"/>
  <c r="Q3" i="1"/>
  <c r="M8" i="1"/>
  <c r="M3" i="1"/>
  <c r="U8" i="1"/>
  <c r="U3" i="1"/>
  <c r="J63" i="6"/>
  <c r="J65" i="6"/>
  <c r="N63" i="6"/>
  <c r="N65" i="6"/>
  <c r="AG3" i="1"/>
  <c r="AL8" i="1"/>
  <c r="AL9" i="1"/>
  <c r="AO5" i="1"/>
  <c r="M63" i="6"/>
  <c r="M65" i="6"/>
  <c r="I63" i="6"/>
  <c r="L63" i="6"/>
  <c r="L65" i="6"/>
  <c r="K63" i="6"/>
  <c r="K65" i="6"/>
  <c r="E4" i="1"/>
  <c r="I8" i="1"/>
  <c r="I3" i="1"/>
  <c r="Y8" i="1"/>
  <c r="Y3" i="1"/>
  <c r="AK3" i="1"/>
  <c r="E8" i="1"/>
  <c r="AS4" i="1"/>
  <c r="AQ8" i="1"/>
  <c r="R63" i="6"/>
  <c r="R65" i="6"/>
  <c r="P63" i="6"/>
  <c r="P65" i="6"/>
  <c r="Q63" i="6"/>
  <c r="Q65" i="6"/>
  <c r="O63" i="6"/>
  <c r="O65" i="6"/>
  <c r="S63" i="6"/>
  <c r="S65" i="6"/>
  <c r="E9" i="1"/>
  <c r="C10" i="1"/>
  <c r="AS8" i="1"/>
  <c r="AQ9" i="1"/>
  <c r="AC4" i="1"/>
  <c r="AG4" i="1"/>
  <c r="AG8" i="1"/>
  <c r="AK4" i="1"/>
  <c r="AM8" i="1"/>
  <c r="AO4" i="1"/>
  <c r="T63" i="6"/>
  <c r="T65" i="6"/>
  <c r="AG9" i="1"/>
  <c r="AS9" i="1"/>
  <c r="AQ10" i="1"/>
  <c r="AK8" i="1"/>
  <c r="AI10" i="1"/>
  <c r="AC8" i="1"/>
  <c r="AO8" i="1"/>
  <c r="AM9" i="1"/>
  <c r="AW4" i="1"/>
  <c r="AU8" i="1"/>
  <c r="AC9" i="1"/>
  <c r="AK9" i="1"/>
  <c r="AO9" i="1"/>
  <c r="AM10" i="1"/>
  <c r="AW8" i="1"/>
  <c r="AU9" i="1"/>
  <c r="AW9" i="1"/>
  <c r="AU10" i="1"/>
</calcChain>
</file>

<file path=xl/sharedStrings.xml><?xml version="1.0" encoding="utf-8"?>
<sst xmlns="http://schemas.openxmlformats.org/spreadsheetml/2006/main" count="395" uniqueCount="150">
  <si>
    <t>EQUIPMENT</t>
  </si>
  <si>
    <t>SUBCONTRACT</t>
  </si>
  <si>
    <t>COAN</t>
  </si>
  <si>
    <t>Description</t>
  </si>
  <si>
    <t>According to 
Agreement</t>
  </si>
  <si>
    <t>TOTAL</t>
  </si>
  <si>
    <t>travel</t>
  </si>
  <si>
    <t>CA.01.11.02.07-Attrezzature Tecnico Scientifiche</t>
  </si>
  <si>
    <t>Cost</t>
  </si>
  <si>
    <t>Type</t>
  </si>
  <si>
    <t>each</t>
  </si>
  <si>
    <t>stay-hotel</t>
  </si>
  <si>
    <t>stay-food</t>
  </si>
  <si>
    <t>partner contribute</t>
  </si>
  <si>
    <t>Transfer first payment to Plux</t>
  </si>
  <si>
    <t>Transfer first payment to ESPRM</t>
  </si>
  <si>
    <t>Transfer first payment to UNIPLOV</t>
  </si>
  <si>
    <t>Transfer first payment to UPMC</t>
  </si>
  <si>
    <t>Transfer first payment to VILNIUS</t>
  </si>
  <si>
    <t>Stay-hotel&amp;food</t>
  </si>
  <si>
    <t>year</t>
  </si>
  <si>
    <t>Stay-hotel&amp;food&amp;travel</t>
  </si>
  <si>
    <t>p1
UNISANN</t>
  </si>
  <si>
    <t>p2
Universitè Pierre ed Marie Curie</t>
  </si>
  <si>
    <t>p3
Vilnius University</t>
  </si>
  <si>
    <t>p4
Medical University of Plovdiv</t>
  </si>
  <si>
    <t>p5
Europena Society Physical and Rehabilitation Medicine</t>
  </si>
  <si>
    <t>p6
PLUX wireless biosignals S.A</t>
  </si>
  <si>
    <t>p7
Tashkent University of Information Technologies</t>
  </si>
  <si>
    <t>p8
Tashkent University Of Information Technology Karshi Brench</t>
  </si>
  <si>
    <t xml:space="preserve">p9
Tashkent Pediatric Medical Institute </t>
  </si>
  <si>
    <t xml:space="preserve">p10
Nukus Pediatric Medical Institue </t>
  </si>
  <si>
    <t>p11
Center elearning Ministry higher secondary institution</t>
  </si>
  <si>
    <t>p12
Republican Center of Therapy and Rehabilitation</t>
  </si>
  <si>
    <t>staff  P9</t>
  </si>
  <si>
    <t>payment order</t>
  </si>
  <si>
    <t>equipment</t>
  </si>
  <si>
    <t>TOTAL SPENT</t>
  </si>
  <si>
    <t>FUND</t>
  </si>
  <si>
    <t>Difference</t>
  </si>
  <si>
    <t>staff cost: Vikrov Igor</t>
  </si>
  <si>
    <t>staff cost: Ashrbarov Sherzod</t>
  </si>
  <si>
    <t>staff cost: Normatov Sherbek</t>
  </si>
  <si>
    <t>staff P8</t>
  </si>
  <si>
    <t>staff cost: Haydarov Ozodjon</t>
  </si>
  <si>
    <t>staff cost: Kadir Muminov</t>
  </si>
  <si>
    <t>staff cost: Barno Ganieva</t>
  </si>
  <si>
    <t>staff cost: Marat Rakhmatullaev</t>
  </si>
  <si>
    <t>staff P11</t>
  </si>
  <si>
    <t>staff P12</t>
  </si>
  <si>
    <t>staff p7</t>
  </si>
  <si>
    <t>STAFF COST</t>
  </si>
  <si>
    <t>STAY+FOOD+TRAVEL</t>
  </si>
  <si>
    <t>2478/2017</t>
  </si>
  <si>
    <t>3734/2016</t>
  </si>
  <si>
    <t>3729/2016</t>
  </si>
  <si>
    <t>6170/2016</t>
  </si>
  <si>
    <t>Stay-hotel&amp;food&amp;travel: transfered to PULX for the other partners</t>
  </si>
  <si>
    <t>printing&amp;publishing</t>
  </si>
  <si>
    <t>staff p1</t>
  </si>
  <si>
    <t>staff cost Unisan</t>
  </si>
  <si>
    <t>subcontract AESSE Grafica</t>
  </si>
  <si>
    <t>subcontract</t>
  </si>
  <si>
    <t>WebSite</t>
  </si>
  <si>
    <t>UA.00.01 - AMMINISTRAZIONE CENTRALE</t>
  </si>
  <si>
    <t>4617/2016; 4978-2016; 5616/2016: 6319/2016; 6970/2016; 7168/2016; 686/2017; 524/2017; 1075/2017; 1537/2017</t>
  </si>
  <si>
    <t xml:space="preserve">Comments: </t>
  </si>
  <si>
    <t>Cost ITEMS</t>
  </si>
  <si>
    <t>Already Spent or Assigned</t>
  </si>
  <si>
    <t>PAYMENT ORDER / COAN</t>
  </si>
  <si>
    <t>Remaining GRANT</t>
  </si>
  <si>
    <t>NOTE:</t>
  </si>
  <si>
    <t>Money already spent are proved by Payment Order. Money assigned are proved by COAN.</t>
  </si>
  <si>
    <t>Negative value means that the money already spent are more than approved grant. These money values are highlighted in RED.</t>
  </si>
  <si>
    <t>Remember that reformulation of the budget can occur by EACEA, see their comments after the Interim report. For this reason, the remaining grant could be reformulated accordingly, for each Partner.</t>
  </si>
  <si>
    <t>declared in interim report</t>
  </si>
  <si>
    <t>3726/2016</t>
  </si>
  <si>
    <t>Received by EACEA</t>
  </si>
  <si>
    <t>percentage spent with respect to ammount received by EACEA</t>
  </si>
  <si>
    <t>For Partners P2, P3, P4, P5, P6 the money spent for each item is proved according to their declaration in the"interim report"</t>
  </si>
  <si>
    <t>Row 8 refers to the total grant of the project</t>
  </si>
  <si>
    <t>Row 9 refers to the received grant (the 50% of the  total grant)</t>
  </si>
  <si>
    <t>Remember that EACEA will sent the 40% of the total budjet when the 70% of the already received money is spent. On line 10 you can check the percentage spent by each Partner.</t>
  </si>
  <si>
    <t>Partners that were able to spent the 100% of their part of the grant, or more, cannot receive other money from UNISAN until it will receive the second tranche of money from EACEA.</t>
  </si>
  <si>
    <t>P1
UNISANN</t>
  </si>
  <si>
    <t>P2
Universitè Pierre ed Marie Curie</t>
  </si>
  <si>
    <t>P3
Vilnius University</t>
  </si>
  <si>
    <t>P4
Medical University of Plovdiv</t>
  </si>
  <si>
    <t>P5
Europena Society Physical and Rehabilitation Medicine</t>
  </si>
  <si>
    <t>P6
PLUX wireless biosignals S.A</t>
  </si>
  <si>
    <t>P7
Tashkent University of Information Technologies</t>
  </si>
  <si>
    <t>P8
Tashkent University Of Information Technology Karshi Brench</t>
  </si>
  <si>
    <t xml:space="preserve">P9
Tashkent Pediatric Medical Institute </t>
  </si>
  <si>
    <t xml:space="preserve">P10
Nukus Pediatric Medical Institue </t>
  </si>
  <si>
    <t>P11
Center elearning Ministry higher secondary institution</t>
  </si>
  <si>
    <t>P12
Republican Center of Therapy and Rehabilitation</t>
  </si>
  <si>
    <t>PARIS</t>
  </si>
  <si>
    <t>BENEVENTO</t>
  </si>
  <si>
    <t>NUKUS(3days)</t>
  </si>
  <si>
    <t>4606/2016</t>
  </si>
  <si>
    <t>4451/2016; 3456/2016</t>
  </si>
  <si>
    <t>937/2017</t>
  </si>
  <si>
    <t xml:space="preserve">6170/2016; </t>
  </si>
  <si>
    <t>Difference=</t>
  </si>
  <si>
    <t>TRAVEL:</t>
  </si>
  <si>
    <t>STAY:</t>
  </si>
  <si>
    <t>1640€  *</t>
  </si>
  <si>
    <t>1060€*</t>
  </si>
  <si>
    <t>360€  *</t>
  </si>
  <si>
    <t>550€  *</t>
  </si>
  <si>
    <t>275€  *</t>
  </si>
  <si>
    <t>According to Project</t>
  </si>
  <si>
    <t>Spent</t>
  </si>
  <si>
    <t>Payment Order</t>
  </si>
  <si>
    <t>€ 1640,00  *</t>
  </si>
  <si>
    <t>* It was used the grant for a dissemination travel for Tashkent</t>
  </si>
  <si>
    <t>declared by email 02/08/2017</t>
  </si>
  <si>
    <t>staff cost Plovdiv</t>
  </si>
  <si>
    <t>staff P4</t>
  </si>
  <si>
    <t>VAT</t>
  </si>
  <si>
    <t>travel+shuttle</t>
  </si>
  <si>
    <t>check</t>
  </si>
  <si>
    <t>Boolean</t>
  </si>
  <si>
    <t>publishing</t>
  </si>
  <si>
    <t>subcontract TECH.CON s.r.l. website realization</t>
  </si>
  <si>
    <t>TASHKENT
(4 days)</t>
  </si>
  <si>
    <t>subcontract SAVIA viaggi, Parigi, travel Utzbekistan Partners</t>
  </si>
  <si>
    <t>travel-stay</t>
  </si>
  <si>
    <t>Meeting Benevento: ticket fly+shuttle Utzbekistan partner</t>
  </si>
  <si>
    <t>Meeting Benevento: coffee break, Futura srl</t>
  </si>
  <si>
    <t xml:space="preserve">Meeting Benevento: 12  Utzbekistan partner. Expenses for hotel Villa Traiano. </t>
  </si>
  <si>
    <t>Meeting Pisa: Rembourse Unisannio</t>
  </si>
  <si>
    <t>Meeting Pisa:  Administrative Staff Unisannio</t>
  </si>
  <si>
    <t>Meeting Pisa:  Rembourse Unisannio</t>
  </si>
  <si>
    <t>kickoff meeting brussels: rembourse Unisann</t>
  </si>
  <si>
    <t>Meeting in Utzbekistan: Transfer to PLUX - Printing and Publishing</t>
  </si>
  <si>
    <t>Meeting in Utzbekistan: Transfer to PLUX - remboursement p9 meeting in utzbekistan nov-2016</t>
  </si>
  <si>
    <t>Meeting Paris: Transfer Pierr et Marie Curie - € 2160 Unisan+ € 9600 shered by all Utzbekistan partners</t>
  </si>
  <si>
    <t>Meeting in Utzbekistan: Transfer to PLUX - Travel and Stay</t>
  </si>
  <si>
    <t>Meeting in Utzbekistan: Remboursment Unisan - Travell and Stay</t>
  </si>
  <si>
    <t>Meeting Paris: remboursement Unisan - Travell and Stay</t>
  </si>
  <si>
    <t>1874/2017</t>
  </si>
  <si>
    <t>4451/2016; 1874/2016; 2311/2016 ; 1873/2016; 1172/2016; 6170/2016; 6666/2016; 6686/2016; 937/2017; 1633/2017; 1874/2017</t>
  </si>
  <si>
    <t>6170/2016;4607/2016; 3431/2017</t>
  </si>
  <si>
    <t>3793/2016;4216/2016; 5014(2016; 5043/2016; 5054/2016; 1830/2017</t>
  </si>
  <si>
    <t>4606/2016; 4451/2016; 3456/2016; 6170/2016; 937/2017; 1874/2017</t>
  </si>
  <si>
    <t>Total received</t>
  </si>
  <si>
    <t>Total Spent</t>
  </si>
  <si>
    <t>percentage</t>
  </si>
  <si>
    <t>Communicate by Delphine Tessier by email the 18/12/2017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</si>
</sst>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49" fontId="0" fillId="0" borderId="1" xfId="0" applyNumberFormat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49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164" fontId="0" fillId="8" borderId="1" xfId="0" applyNumberForma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164" fontId="0" fillId="10" borderId="1" xfId="0" applyNumberFormat="1" applyFill="1" applyBorder="1" applyAlignment="1">
      <alignment vertical="center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164" fontId="0" fillId="11" borderId="1" xfId="0" applyNumberFormat="1" applyFill="1" applyBorder="1" applyAlignment="1">
      <alignment vertical="center"/>
    </xf>
    <xf numFmtId="0" fontId="0" fillId="11" borderId="1" xfId="0" applyFill="1" applyBorder="1" applyAlignment="1">
      <alignment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 wrapText="1"/>
    </xf>
    <xf numFmtId="164" fontId="2" fillId="13" borderId="1" xfId="0" applyNumberFormat="1" applyFont="1" applyFill="1" applyBorder="1" applyAlignment="1">
      <alignment horizontal="center" vertical="center"/>
    </xf>
    <xf numFmtId="164" fontId="0" fillId="13" borderId="0" xfId="0" applyNumberFormat="1" applyFill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164" fontId="2" fillId="13" borderId="7" xfId="0" applyNumberFormat="1" applyFont="1" applyFill="1" applyBorder="1" applyAlignment="1">
      <alignment horizontal="center" vertical="center"/>
    </xf>
    <xf numFmtId="164" fontId="1" fillId="8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0" fontId="0" fillId="14" borderId="1" xfId="0" applyFill="1" applyBorder="1" applyAlignment="1">
      <alignment vertical="center"/>
    </xf>
    <xf numFmtId="164" fontId="0" fillId="14" borderId="1" xfId="0" applyNumberFormat="1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164" fontId="0" fillId="15" borderId="1" xfId="0" applyNumberFormat="1" applyFill="1" applyBorder="1" applyAlignment="1">
      <alignment vertical="center"/>
    </xf>
    <xf numFmtId="0" fontId="0" fillId="1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0" fillId="15" borderId="0" xfId="0" applyNumberFormat="1" applyFill="1" applyAlignment="1">
      <alignment horizontal="center" vertical="center"/>
    </xf>
    <xf numFmtId="164" fontId="1" fillId="15" borderId="0" xfId="0" applyNumberFormat="1" applyFont="1" applyFill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13" borderId="10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 wrapText="1"/>
    </xf>
    <xf numFmtId="164" fontId="0" fillId="15" borderId="11" xfId="0" applyNumberFormat="1" applyFill="1" applyBorder="1" applyAlignment="1">
      <alignment horizontal="center" vertical="center" wrapText="1"/>
    </xf>
    <xf numFmtId="164" fontId="0" fillId="15" borderId="0" xfId="0" applyNumberFormat="1" applyFill="1" applyBorder="1" applyAlignment="1">
      <alignment horizontal="center" vertical="center" wrapText="1"/>
    </xf>
    <xf numFmtId="164" fontId="0" fillId="15" borderId="1" xfId="0" applyNumberFormat="1" applyFill="1" applyBorder="1" applyAlignment="1">
      <alignment horizontal="center" vertical="center" wrapText="1"/>
    </xf>
    <xf numFmtId="164" fontId="1" fillId="15" borderId="10" xfId="0" applyNumberFormat="1" applyFont="1" applyFill="1" applyBorder="1" applyAlignment="1">
      <alignment horizontal="center" vertical="center" wrapText="1"/>
    </xf>
    <xf numFmtId="164" fontId="0" fillId="15" borderId="10" xfId="0" applyNumberFormat="1" applyFill="1" applyBorder="1" applyAlignment="1">
      <alignment horizontal="center" vertical="center" wrapText="1"/>
    </xf>
    <xf numFmtId="164" fontId="1" fillId="15" borderId="1" xfId="0" applyNumberFormat="1" applyFont="1" applyFill="1" applyBorder="1" applyAlignment="1">
      <alignment horizontal="center" vertical="center" wrapText="1"/>
    </xf>
    <xf numFmtId="164" fontId="0" fillId="15" borderId="1" xfId="0" applyNumberFormat="1" applyFill="1" applyBorder="1" applyAlignment="1">
      <alignment horizontal="center" vertical="center"/>
    </xf>
    <xf numFmtId="164" fontId="0" fillId="15" borderId="7" xfId="0" applyNumberFormat="1" applyFill="1" applyBorder="1" applyAlignment="1">
      <alignment horizontal="center" vertical="center" wrapText="1"/>
    </xf>
    <xf numFmtId="164" fontId="0" fillId="15" borderId="7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9" borderId="5" xfId="0" applyNumberFormat="1" applyFont="1" applyFill="1" applyBorder="1" applyAlignment="1">
      <alignment horizontal="center" vertical="center"/>
    </xf>
    <xf numFmtId="164" fontId="6" fillId="9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9" borderId="5" xfId="0" applyNumberFormat="1" applyFont="1" applyFill="1" applyBorder="1" applyAlignment="1">
      <alignment horizontal="center" vertical="center"/>
    </xf>
    <xf numFmtId="164" fontId="7" fillId="9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5" fillId="9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164" fontId="3" fillId="9" borderId="0" xfId="0" applyNumberFormat="1" applyFont="1" applyFill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3" fillId="7" borderId="0" xfId="0" applyFont="1" applyFill="1"/>
    <xf numFmtId="0" fontId="10" fillId="2" borderId="0" xfId="0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 vertical="center"/>
    </xf>
    <xf numFmtId="10" fontId="5" fillId="9" borderId="0" xfId="0" applyNumberFormat="1" applyFont="1" applyFill="1" applyAlignment="1">
      <alignment horizontal="center" vertical="center" wrapText="1"/>
    </xf>
    <xf numFmtId="10" fontId="5" fillId="9" borderId="5" xfId="0" applyNumberFormat="1" applyFont="1" applyFill="1" applyBorder="1" applyAlignment="1">
      <alignment horizontal="center" vertical="center"/>
    </xf>
    <xf numFmtId="49" fontId="5" fillId="9" borderId="5" xfId="0" applyNumberFormat="1" applyFont="1" applyFill="1" applyBorder="1" applyAlignment="1">
      <alignment horizontal="center" vertical="center" wrapText="1"/>
    </xf>
    <xf numFmtId="164" fontId="5" fillId="9" borderId="5" xfId="0" applyNumberFormat="1" applyFont="1" applyFill="1" applyBorder="1" applyAlignment="1">
      <alignment horizontal="center" vertical="center"/>
    </xf>
    <xf numFmtId="164" fontId="3" fillId="16" borderId="12" xfId="0" applyNumberFormat="1" applyFont="1" applyFill="1" applyBorder="1" applyAlignment="1">
      <alignment horizontal="center" vertical="center"/>
    </xf>
    <xf numFmtId="164" fontId="3" fillId="16" borderId="13" xfId="0" applyNumberFormat="1" applyFont="1" applyFill="1" applyBorder="1" applyAlignment="1">
      <alignment horizontal="center" vertical="center"/>
    </xf>
    <xf numFmtId="10" fontId="3" fillId="16" borderId="14" xfId="0" applyNumberFormat="1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/>
    </xf>
    <xf numFmtId="49" fontId="3" fillId="16" borderId="16" xfId="0" applyNumberFormat="1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0" fillId="15" borderId="9" xfId="0" applyNumberFormat="1" applyFill="1" applyBorder="1" applyAlignment="1">
      <alignment horizontal="center" vertical="center" wrapText="1"/>
    </xf>
    <xf numFmtId="164" fontId="2" fillId="15" borderId="1" xfId="0" applyNumberFormat="1" applyFont="1" applyFill="1" applyBorder="1" applyAlignment="1">
      <alignment horizontal="center" vertical="center"/>
    </xf>
    <xf numFmtId="164" fontId="2" fillId="15" borderId="7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164" fontId="0" fillId="12" borderId="5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164" fontId="0" fillId="12" borderId="7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164" fontId="0" fillId="12" borderId="5" xfId="0" applyNumberForma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4"/>
  <colors>
    <mruColors>
      <color rgb="FF00FFCC"/>
      <color rgb="FF00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udio\Desktop\ORAL-Budget%20clarification\interim%20Report\TechReh_financial_statemen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inal financial statement"/>
      <sheetName val="Costs Incurred&amp;2nd Prefinancing"/>
      <sheetName val="1. Staff costs"/>
      <sheetName val="2-3. Travel Costs&amp;Costs of Stay"/>
      <sheetName val="4. Equipment Costs"/>
      <sheetName val="5. Subcontracting Costs"/>
      <sheetName val="Co-financing"/>
      <sheetName val="Breakdown &amp; Project Funding"/>
      <sheetName val="Breakdown Staff &amp; Travel Costs"/>
      <sheetName val="Rates"/>
    </sheetNames>
    <sheetDataSet>
      <sheetData sheetId="0"/>
      <sheetData sheetId="1">
        <row r="23">
          <cell r="B23" t="str">
            <v>P1</v>
          </cell>
        </row>
        <row r="24">
          <cell r="B24" t="str">
            <v>P2</v>
          </cell>
        </row>
        <row r="25">
          <cell r="B25" t="str">
            <v>P3</v>
          </cell>
        </row>
        <row r="26">
          <cell r="B26" t="str">
            <v>P4</v>
          </cell>
        </row>
        <row r="27">
          <cell r="B27" t="str">
            <v>P5</v>
          </cell>
        </row>
        <row r="28">
          <cell r="B28" t="str">
            <v>P6</v>
          </cell>
        </row>
        <row r="29">
          <cell r="B29" t="str">
            <v>P7</v>
          </cell>
        </row>
        <row r="30">
          <cell r="B30" t="str">
            <v>P8</v>
          </cell>
        </row>
        <row r="31">
          <cell r="B31" t="str">
            <v>P9</v>
          </cell>
        </row>
        <row r="32">
          <cell r="B32" t="str">
            <v>P10</v>
          </cell>
        </row>
        <row r="33">
          <cell r="B33" t="str">
            <v>P11</v>
          </cell>
        </row>
        <row r="34">
          <cell r="B34" t="str">
            <v>P12</v>
          </cell>
        </row>
        <row r="35">
          <cell r="B35" t="str">
            <v>P13</v>
          </cell>
        </row>
        <row r="36">
          <cell r="B36" t="str">
            <v>P14</v>
          </cell>
        </row>
        <row r="37">
          <cell r="B37" t="str">
            <v>P15</v>
          </cell>
        </row>
        <row r="38">
          <cell r="B38" t="str">
            <v>P16</v>
          </cell>
        </row>
        <row r="39">
          <cell r="B39" t="str">
            <v>P17</v>
          </cell>
        </row>
        <row r="40">
          <cell r="B40" t="str">
            <v>P18</v>
          </cell>
        </row>
        <row r="41">
          <cell r="B41" t="str">
            <v>P19</v>
          </cell>
        </row>
        <row r="42">
          <cell r="B42" t="str">
            <v>P20</v>
          </cell>
        </row>
        <row r="43">
          <cell r="B43" t="str">
            <v>P21</v>
          </cell>
        </row>
        <row r="44">
          <cell r="B44" t="str">
            <v>P22</v>
          </cell>
        </row>
        <row r="45">
          <cell r="B45" t="str">
            <v>P23</v>
          </cell>
        </row>
        <row r="46">
          <cell r="B46" t="str">
            <v>P24</v>
          </cell>
        </row>
        <row r="47">
          <cell r="B47" t="str">
            <v>P25</v>
          </cell>
        </row>
        <row r="48">
          <cell r="B48" t="str">
            <v>P26</v>
          </cell>
        </row>
        <row r="49">
          <cell r="B49" t="str">
            <v>P27</v>
          </cell>
        </row>
        <row r="50">
          <cell r="B50" t="str">
            <v>P28</v>
          </cell>
        </row>
        <row r="51">
          <cell r="B51" t="str">
            <v>P29</v>
          </cell>
        </row>
        <row r="52">
          <cell r="B52" t="str">
            <v>P30</v>
          </cell>
        </row>
        <row r="53">
          <cell r="B53" t="str">
            <v>P31</v>
          </cell>
        </row>
        <row r="54">
          <cell r="B54" t="str">
            <v>P32</v>
          </cell>
        </row>
        <row r="55">
          <cell r="B55" t="str">
            <v>P33</v>
          </cell>
        </row>
        <row r="56">
          <cell r="B56" t="str">
            <v>P34</v>
          </cell>
        </row>
        <row r="57">
          <cell r="B57" t="str">
            <v>P35</v>
          </cell>
        </row>
        <row r="58">
          <cell r="B58" t="str">
            <v>P36</v>
          </cell>
        </row>
        <row r="59">
          <cell r="B59" t="str">
            <v>P37</v>
          </cell>
        </row>
        <row r="60">
          <cell r="B60" t="str">
            <v>P38</v>
          </cell>
        </row>
        <row r="61">
          <cell r="B61" t="str">
            <v>P39</v>
          </cell>
        </row>
        <row r="62">
          <cell r="B62" t="str">
            <v>P40</v>
          </cell>
        </row>
        <row r="63">
          <cell r="B63" t="str">
            <v>P41</v>
          </cell>
        </row>
        <row r="64">
          <cell r="B64" t="str">
            <v>P42</v>
          </cell>
        </row>
        <row r="65">
          <cell r="B65" t="str">
            <v>P43</v>
          </cell>
        </row>
        <row r="66">
          <cell r="B66" t="str">
            <v>P44</v>
          </cell>
        </row>
        <row r="67">
          <cell r="B67" t="str">
            <v>P45</v>
          </cell>
        </row>
        <row r="68">
          <cell r="B68" t="str">
            <v>P46</v>
          </cell>
        </row>
        <row r="69">
          <cell r="B69" t="str">
            <v>P47</v>
          </cell>
        </row>
        <row r="70">
          <cell r="B70" t="str">
            <v>P48</v>
          </cell>
        </row>
        <row r="71">
          <cell r="B71" t="str">
            <v>P49</v>
          </cell>
        </row>
        <row r="72">
          <cell r="B72" t="str">
            <v>P50</v>
          </cell>
        </row>
        <row r="73">
          <cell r="B73" t="str">
            <v>P51</v>
          </cell>
        </row>
        <row r="74">
          <cell r="B74" t="str">
            <v>P52</v>
          </cell>
        </row>
        <row r="75">
          <cell r="B75" t="str">
            <v>P53</v>
          </cell>
        </row>
        <row r="76">
          <cell r="B76" t="str">
            <v>P54</v>
          </cell>
        </row>
        <row r="77">
          <cell r="B77" t="str">
            <v>P55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J3" t="str">
            <v>Preparation</v>
          </cell>
        </row>
        <row r="4">
          <cell r="J4" t="str">
            <v>Development</v>
          </cell>
        </row>
        <row r="5">
          <cell r="J5" t="str">
            <v>Quality Plan</v>
          </cell>
        </row>
        <row r="6">
          <cell r="J6" t="str">
            <v>Dissemination &amp; Exploitation</v>
          </cell>
        </row>
        <row r="7">
          <cell r="J7" t="str">
            <v>Management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4"/>
  <sheetViews>
    <sheetView tabSelected="1" zoomScaleNormal="100" zoomScalePageLayoutView="70" workbookViewId="0">
      <pane ySplit="1" topLeftCell="A2" activePane="bottomLeft" state="frozen"/>
      <selection pane="bottomLeft" activeCell="I3" sqref="I3"/>
    </sheetView>
  </sheetViews>
  <sheetFormatPr defaultColWidth="11" defaultRowHeight="12.75" x14ac:dyDescent="0.25"/>
  <cols>
    <col min="1" max="1" width="17.875" style="80" customWidth="1"/>
    <col min="2" max="2" width="12.625" style="119" customWidth="1"/>
    <col min="3" max="3" width="15.125" style="119" customWidth="1"/>
    <col min="4" max="4" width="11.375" style="121" bestFit="1" customWidth="1"/>
    <col min="5" max="5" width="11.375" style="119" customWidth="1"/>
    <col min="6" max="6" width="12.625" style="80" customWidth="1"/>
    <col min="7" max="9" width="11" style="80" customWidth="1"/>
    <col min="10" max="10" width="12.5" style="119" customWidth="1"/>
    <col min="11" max="13" width="11" style="119" customWidth="1"/>
    <col min="14" max="14" width="11.875" style="80" customWidth="1"/>
    <col min="15" max="15" width="21" style="80" customWidth="1"/>
    <col min="16" max="17" width="11" style="80" customWidth="1"/>
    <col min="18" max="18" width="12.125" style="119" customWidth="1"/>
    <col min="19" max="21" width="11" style="119" customWidth="1"/>
    <col min="22" max="22" width="12.125" style="80" customWidth="1"/>
    <col min="23" max="25" width="11" style="80" customWidth="1"/>
    <col min="26" max="26" width="12" style="119" customWidth="1"/>
    <col min="27" max="28" width="11" style="119" customWidth="1"/>
    <col min="29" max="29" width="11.625" style="119" bestFit="1" customWidth="1"/>
    <col min="30" max="30" width="12.375" style="80" customWidth="1"/>
    <col min="31" max="32" width="11" style="80"/>
    <col min="33" max="33" width="11.625" style="80" bestFit="1" customWidth="1"/>
    <col min="34" max="34" width="11.625" style="119" customWidth="1"/>
    <col min="35" max="36" width="11" style="119"/>
    <col min="37" max="37" width="11.625" style="119" bestFit="1" customWidth="1"/>
    <col min="38" max="38" width="12.5" style="80" customWidth="1"/>
    <col min="39" max="40" width="11" style="80"/>
    <col min="41" max="41" width="11.625" style="80" bestFit="1" customWidth="1"/>
    <col min="42" max="42" width="12.125" style="119" customWidth="1"/>
    <col min="43" max="45" width="11" style="119"/>
    <col min="46" max="46" width="11.625" style="80" customWidth="1"/>
    <col min="47" max="49" width="11" style="80"/>
    <col min="50" max="16384" width="11" style="81"/>
  </cols>
  <sheetData>
    <row r="1" spans="1:49" ht="32.25" customHeight="1" x14ac:dyDescent="0.25">
      <c r="B1" s="143" t="s">
        <v>22</v>
      </c>
      <c r="C1" s="149"/>
      <c r="D1" s="149"/>
      <c r="E1" s="150"/>
      <c r="F1" s="146" t="s">
        <v>23</v>
      </c>
      <c r="G1" s="147"/>
      <c r="H1" s="147"/>
      <c r="I1" s="148"/>
      <c r="J1" s="143" t="s">
        <v>24</v>
      </c>
      <c r="K1" s="144"/>
      <c r="L1" s="144"/>
      <c r="M1" s="145"/>
      <c r="N1" s="146" t="s">
        <v>25</v>
      </c>
      <c r="O1" s="147"/>
      <c r="P1" s="147"/>
      <c r="Q1" s="148"/>
      <c r="R1" s="143" t="s">
        <v>26</v>
      </c>
      <c r="S1" s="144"/>
      <c r="T1" s="144"/>
      <c r="U1" s="145"/>
      <c r="V1" s="146" t="s">
        <v>27</v>
      </c>
      <c r="W1" s="147"/>
      <c r="X1" s="147"/>
      <c r="Y1" s="148"/>
      <c r="Z1" s="143" t="s">
        <v>28</v>
      </c>
      <c r="AA1" s="144"/>
      <c r="AB1" s="144"/>
      <c r="AC1" s="145"/>
      <c r="AD1" s="146" t="s">
        <v>29</v>
      </c>
      <c r="AE1" s="147"/>
      <c r="AF1" s="147"/>
      <c r="AG1" s="148"/>
      <c r="AH1" s="143" t="s">
        <v>30</v>
      </c>
      <c r="AI1" s="144"/>
      <c r="AJ1" s="144"/>
      <c r="AK1" s="145"/>
      <c r="AL1" s="146" t="s">
        <v>31</v>
      </c>
      <c r="AM1" s="147"/>
      <c r="AN1" s="147"/>
      <c r="AO1" s="148"/>
      <c r="AP1" s="143" t="s">
        <v>32</v>
      </c>
      <c r="AQ1" s="144"/>
      <c r="AR1" s="144"/>
      <c r="AS1" s="145"/>
      <c r="AT1" s="146" t="s">
        <v>33</v>
      </c>
      <c r="AU1" s="147"/>
      <c r="AV1" s="147"/>
      <c r="AW1" s="148"/>
    </row>
    <row r="2" spans="1:49" ht="57" customHeight="1" x14ac:dyDescent="0.25">
      <c r="A2" s="82" t="s">
        <v>67</v>
      </c>
      <c r="B2" s="83" t="s">
        <v>4</v>
      </c>
      <c r="C2" s="84" t="s">
        <v>68</v>
      </c>
      <c r="D2" s="85" t="s">
        <v>69</v>
      </c>
      <c r="E2" s="85" t="s">
        <v>70</v>
      </c>
      <c r="F2" s="86" t="s">
        <v>4</v>
      </c>
      <c r="G2" s="87" t="s">
        <v>68</v>
      </c>
      <c r="H2" s="88" t="s">
        <v>69</v>
      </c>
      <c r="I2" s="88" t="s">
        <v>70</v>
      </c>
      <c r="J2" s="83" t="s">
        <v>4</v>
      </c>
      <c r="K2" s="84" t="s">
        <v>68</v>
      </c>
      <c r="L2" s="85" t="s">
        <v>69</v>
      </c>
      <c r="M2" s="85" t="s">
        <v>70</v>
      </c>
      <c r="N2" s="86" t="s">
        <v>4</v>
      </c>
      <c r="O2" s="87" t="s">
        <v>68</v>
      </c>
      <c r="P2" s="88" t="s">
        <v>69</v>
      </c>
      <c r="Q2" s="88" t="s">
        <v>70</v>
      </c>
      <c r="R2" s="83" t="s">
        <v>4</v>
      </c>
      <c r="S2" s="84" t="s">
        <v>68</v>
      </c>
      <c r="T2" s="85" t="s">
        <v>69</v>
      </c>
      <c r="U2" s="85" t="s">
        <v>70</v>
      </c>
      <c r="V2" s="86" t="s">
        <v>4</v>
      </c>
      <c r="W2" s="87" t="s">
        <v>68</v>
      </c>
      <c r="X2" s="88" t="s">
        <v>69</v>
      </c>
      <c r="Y2" s="88" t="s">
        <v>70</v>
      </c>
      <c r="Z2" s="83" t="s">
        <v>4</v>
      </c>
      <c r="AA2" s="84" t="s">
        <v>68</v>
      </c>
      <c r="AB2" s="85" t="s">
        <v>69</v>
      </c>
      <c r="AC2" s="85" t="s">
        <v>70</v>
      </c>
      <c r="AD2" s="86" t="s">
        <v>4</v>
      </c>
      <c r="AE2" s="87" t="s">
        <v>68</v>
      </c>
      <c r="AF2" s="88" t="s">
        <v>69</v>
      </c>
      <c r="AG2" s="88" t="s">
        <v>70</v>
      </c>
      <c r="AH2" s="83" t="s">
        <v>4</v>
      </c>
      <c r="AI2" s="84" t="s">
        <v>68</v>
      </c>
      <c r="AJ2" s="85" t="s">
        <v>69</v>
      </c>
      <c r="AK2" s="85" t="s">
        <v>70</v>
      </c>
      <c r="AL2" s="86" t="s">
        <v>4</v>
      </c>
      <c r="AM2" s="87" t="s">
        <v>68</v>
      </c>
      <c r="AN2" s="88" t="s">
        <v>69</v>
      </c>
      <c r="AO2" s="88" t="s">
        <v>70</v>
      </c>
      <c r="AP2" s="83" t="s">
        <v>4</v>
      </c>
      <c r="AQ2" s="84" t="s">
        <v>68</v>
      </c>
      <c r="AR2" s="85" t="s">
        <v>69</v>
      </c>
      <c r="AS2" s="85" t="s">
        <v>70</v>
      </c>
      <c r="AT2" s="86" t="s">
        <v>4</v>
      </c>
      <c r="AU2" s="87" t="s">
        <v>68</v>
      </c>
      <c r="AV2" s="88" t="s">
        <v>69</v>
      </c>
      <c r="AW2" s="88" t="s">
        <v>70</v>
      </c>
    </row>
    <row r="3" spans="1:49" ht="127.5" x14ac:dyDescent="0.25">
      <c r="A3" s="89" t="s">
        <v>51</v>
      </c>
      <c r="B3" s="90">
        <v>84456</v>
      </c>
      <c r="C3" s="90">
        <f>SUM('Payment Order-COAN'!F45:'Payment Order-COAN'!F56)</f>
        <v>71332.61</v>
      </c>
      <c r="D3" s="91" t="s">
        <v>65</v>
      </c>
      <c r="E3" s="90">
        <f>B3-C3</f>
        <v>13123.39</v>
      </c>
      <c r="F3" s="92">
        <v>51996</v>
      </c>
      <c r="G3" s="92">
        <v>36592</v>
      </c>
      <c r="H3" s="93" t="s">
        <v>149</v>
      </c>
      <c r="I3" s="92">
        <f>F3-G3</f>
        <v>15404</v>
      </c>
      <c r="J3" s="90">
        <v>15316</v>
      </c>
      <c r="K3" s="90">
        <v>8290</v>
      </c>
      <c r="L3" s="91" t="s">
        <v>75</v>
      </c>
      <c r="M3" s="90">
        <f>J3-K3</f>
        <v>7026</v>
      </c>
      <c r="N3" s="92">
        <v>14585</v>
      </c>
      <c r="O3" s="92">
        <f>'Payment Order-COAN'!L57</f>
        <v>7275</v>
      </c>
      <c r="P3" s="93" t="s">
        <v>75</v>
      </c>
      <c r="Q3" s="92">
        <f>N3-O3</f>
        <v>7310</v>
      </c>
      <c r="R3" s="90">
        <v>11884</v>
      </c>
      <c r="S3" s="90">
        <v>0</v>
      </c>
      <c r="T3" s="91" t="s">
        <v>75</v>
      </c>
      <c r="U3" s="90">
        <f>R3-S3</f>
        <v>11884</v>
      </c>
      <c r="V3" s="92">
        <v>25955</v>
      </c>
      <c r="W3" s="92">
        <v>3802</v>
      </c>
      <c r="X3" s="93" t="s">
        <v>116</v>
      </c>
      <c r="Y3" s="92">
        <f>V3-W3</f>
        <v>22153</v>
      </c>
      <c r="Z3" s="90">
        <v>10305</v>
      </c>
      <c r="AA3" s="90">
        <f>SUM('Payment Order-COAN'!O43+'Payment Order-COAN'!O44)</f>
        <v>2046</v>
      </c>
      <c r="AB3" s="91" t="s">
        <v>53</v>
      </c>
      <c r="AC3" s="90">
        <f>Z3-AA3</f>
        <v>8259</v>
      </c>
      <c r="AD3" s="92">
        <v>10305</v>
      </c>
      <c r="AE3" s="92">
        <f>'Payment Order-COAN'!P40</f>
        <v>660.01</v>
      </c>
      <c r="AF3" s="93" t="s">
        <v>53</v>
      </c>
      <c r="AG3" s="92">
        <f>AD3-AE3</f>
        <v>9644.99</v>
      </c>
      <c r="AH3" s="90">
        <v>11030</v>
      </c>
      <c r="AI3" s="90">
        <f>SUM('Payment Order-COAN'!Q32:'Payment Order-COAN'!Q44)</f>
        <v>8136.5</v>
      </c>
      <c r="AJ3" s="91" t="s">
        <v>144</v>
      </c>
      <c r="AK3" s="90">
        <f>AH3-AI3</f>
        <v>2893.5</v>
      </c>
      <c r="AL3" s="92">
        <v>10305</v>
      </c>
      <c r="AM3" s="92">
        <v>0</v>
      </c>
      <c r="AN3" s="93"/>
      <c r="AO3" s="92">
        <f>AL3-AM3</f>
        <v>10305</v>
      </c>
      <c r="AP3" s="90">
        <v>9710</v>
      </c>
      <c r="AQ3" s="90">
        <f>'Payment Order-COAN'!S41</f>
        <v>594</v>
      </c>
      <c r="AR3" s="91" t="s">
        <v>53</v>
      </c>
      <c r="AS3" s="90">
        <f>AP3-AQ3</f>
        <v>9116</v>
      </c>
      <c r="AT3" s="92">
        <v>9009</v>
      </c>
      <c r="AU3" s="92">
        <f>'Payment Order-COAN'!T42</f>
        <v>594</v>
      </c>
      <c r="AV3" s="93" t="s">
        <v>53</v>
      </c>
      <c r="AW3" s="92">
        <f>AT3-AU3</f>
        <v>8415</v>
      </c>
    </row>
    <row r="4" spans="1:49" s="95" customFormat="1" ht="140.25" x14ac:dyDescent="0.25">
      <c r="A4" s="89" t="s">
        <v>52</v>
      </c>
      <c r="B4" s="90">
        <f>18085+11880</f>
        <v>29965</v>
      </c>
      <c r="C4" s="90">
        <f>SUM('Payment Order-COAN'!I3,'Payment Order-COAN'!I11,'Payment Order-COAN'!I12,'Payment Order-COAN'!I13,'Payment Order-COAN'!I21,'Payment Order-COAN'!I15,'Payment Order-COAN'!I17,'Payment Order-COAN'!I20,'Payment Order-COAN'!I21,'Payment Order-COAN'!I23,'Payment Order-COAN'!I24)</f>
        <v>17598.26142857143</v>
      </c>
      <c r="D4" s="91" t="s">
        <v>142</v>
      </c>
      <c r="E4" s="90">
        <f t="shared" ref="E4:E6" si="0">B4-C4</f>
        <v>12366.73857142857</v>
      </c>
      <c r="F4" s="92">
        <f>13850+8520</f>
        <v>22370</v>
      </c>
      <c r="G4" s="92">
        <v>9140</v>
      </c>
      <c r="H4" s="93" t="s">
        <v>149</v>
      </c>
      <c r="I4" s="92">
        <f t="shared" ref="I4:I6" si="1">F4-G4</f>
        <v>13230</v>
      </c>
      <c r="J4" s="90">
        <f>13915+9240</f>
        <v>23155</v>
      </c>
      <c r="K4" s="90">
        <f>805+1800</f>
        <v>2605</v>
      </c>
      <c r="L4" s="91" t="s">
        <v>75</v>
      </c>
      <c r="M4" s="90">
        <f t="shared" ref="M4:M6" si="2">J4-K4</f>
        <v>20550</v>
      </c>
      <c r="N4" s="92">
        <f>9855+9240</f>
        <v>19095</v>
      </c>
      <c r="O4" s="92">
        <f>2435+3840</f>
        <v>6275</v>
      </c>
      <c r="P4" s="93" t="s">
        <v>75</v>
      </c>
      <c r="Q4" s="92">
        <f t="shared" ref="Q4:Q6" si="3">N4-O4</f>
        <v>12820</v>
      </c>
      <c r="R4" s="90">
        <f>10440+9240</f>
        <v>19680</v>
      </c>
      <c r="S4" s="90">
        <f>2435+3840</f>
        <v>6275</v>
      </c>
      <c r="T4" s="91" t="s">
        <v>75</v>
      </c>
      <c r="U4" s="90">
        <f t="shared" ref="U4:U6" si="4">R4-S4</f>
        <v>13405</v>
      </c>
      <c r="V4" s="92">
        <f>12930+8520</f>
        <v>21450</v>
      </c>
      <c r="W4" s="92">
        <v>16845</v>
      </c>
      <c r="X4" s="93" t="s">
        <v>116</v>
      </c>
      <c r="Y4" s="92">
        <f t="shared" ref="Y4:Y6" si="5">V4-W4</f>
        <v>4605</v>
      </c>
      <c r="Z4" s="90">
        <f>6980+8850</f>
        <v>15830</v>
      </c>
      <c r="AA4" s="90">
        <f>SUM('Payment Order-COAN'!O2,'Payment Order-COAN'!O3,'Payment Order-COAN'!O4,'Payment Order-COAN'!O17,'Payment Order-COAN'!O23,'Payment Order-COAN'!O25)</f>
        <v>11495.690428571428</v>
      </c>
      <c r="AB4" s="91" t="s">
        <v>145</v>
      </c>
      <c r="AC4" s="90">
        <f t="shared" ref="AC4:AC6" si="6">Z4-AA4</f>
        <v>4334.3095714285719</v>
      </c>
      <c r="AD4" s="92">
        <f>9765+13860</f>
        <v>23625</v>
      </c>
      <c r="AE4" s="92">
        <f>SUM('Payment Order-COAN'!P2,'Payment Order-COAN'!P3,'Payment Order-COAN'!P4,'Payment Order-COAN'!P17,'Payment Order-COAN'!P23,'Payment Order-COAN'!P25)</f>
        <v>7909.4794285714288</v>
      </c>
      <c r="AF4" s="93" t="s">
        <v>145</v>
      </c>
      <c r="AG4" s="92">
        <f t="shared" ref="AG4:AG6" si="7">AD4-AE4</f>
        <v>15715.520571428571</v>
      </c>
      <c r="AH4" s="90">
        <f>7510+9330</f>
        <v>16840</v>
      </c>
      <c r="AI4" s="90">
        <f>SUM('Payment Order-COAN'!Q2,'Payment Order-COAN'!Q3,'Payment Order-COAN'!Q4,'Payment Order-COAN'!Q17,'Payment Order-COAN'!Q19,'Payment Order-COAN'!Q23,'Payment Order-COAN'!Q25)</f>
        <v>10487.397428571428</v>
      </c>
      <c r="AJ4" s="91" t="s">
        <v>145</v>
      </c>
      <c r="AK4" s="90">
        <f t="shared" ref="AK4:AK6" si="8">AH4-AI4</f>
        <v>6352.6025714285715</v>
      </c>
      <c r="AL4" s="92">
        <f>8995+12210</f>
        <v>21205</v>
      </c>
      <c r="AM4" s="92">
        <f>SUM('Payment Order-COAN'!R2,'Payment Order-COAN'!R3,'Payment Order-COAN'!R4,'Payment Order-COAN'!R17,'Payment Order-COAN'!R23,'Payment Order-COAN'!R25)</f>
        <v>7930.1474285714285</v>
      </c>
      <c r="AN4" s="93" t="s">
        <v>145</v>
      </c>
      <c r="AO4" s="92">
        <f t="shared" ref="AO4:AO6" si="9">AL4-AM4</f>
        <v>13274.852571428572</v>
      </c>
      <c r="AP4" s="90">
        <f>3555+1800</f>
        <v>5355</v>
      </c>
      <c r="AQ4" s="90">
        <f>SUM('Payment Order-COAN'!S2,'Payment Order-COAN'!S3,'Payment Order-COAN'!S4,'Payment Order-COAN'!S17,'Payment Order-COAN'!S23,'Payment Order-COAN'!S25)</f>
        <v>6748.5224285714285</v>
      </c>
      <c r="AR4" s="91" t="s">
        <v>145</v>
      </c>
      <c r="AS4" s="94">
        <f t="shared" ref="AS4:AS6" si="10">AP4-AQ4</f>
        <v>-1393.5224285714285</v>
      </c>
      <c r="AT4" s="92">
        <f>3460+1800</f>
        <v>5260</v>
      </c>
      <c r="AU4" s="92">
        <f>SUM('Payment Order-COAN'!T2,'Payment Order-COAN'!T3,'Payment Order-COAN'!T4,'Payment Order-COAN'!T17,'Payment Order-COAN'!T23,'Payment Order-COAN'!T25)</f>
        <v>7930.1474285714285</v>
      </c>
      <c r="AV4" s="93" t="s">
        <v>145</v>
      </c>
      <c r="AW4" s="94">
        <f t="shared" ref="AW4:AW6" si="11">AT4-AU4</f>
        <v>-2670.1474285714285</v>
      </c>
    </row>
    <row r="5" spans="1:49" ht="51" x14ac:dyDescent="0.25">
      <c r="A5" s="89" t="s">
        <v>0</v>
      </c>
      <c r="B5" s="90">
        <v>0</v>
      </c>
      <c r="C5" s="90">
        <v>0</v>
      </c>
      <c r="D5" s="91"/>
      <c r="E5" s="90">
        <f t="shared" si="0"/>
        <v>0</v>
      </c>
      <c r="F5" s="92">
        <v>0</v>
      </c>
      <c r="G5" s="92">
        <v>0</v>
      </c>
      <c r="H5" s="93" t="s">
        <v>75</v>
      </c>
      <c r="I5" s="92">
        <f t="shared" si="1"/>
        <v>0</v>
      </c>
      <c r="J5" s="90">
        <v>0</v>
      </c>
      <c r="K5" s="90">
        <v>0</v>
      </c>
      <c r="L5" s="91" t="s">
        <v>75</v>
      </c>
      <c r="M5" s="90">
        <f t="shared" si="2"/>
        <v>0</v>
      </c>
      <c r="N5" s="92">
        <v>0</v>
      </c>
      <c r="O5" s="92">
        <v>0</v>
      </c>
      <c r="P5" s="93" t="s">
        <v>75</v>
      </c>
      <c r="Q5" s="92">
        <f t="shared" si="3"/>
        <v>0</v>
      </c>
      <c r="R5" s="90">
        <v>0</v>
      </c>
      <c r="S5" s="90">
        <v>0</v>
      </c>
      <c r="T5" s="91" t="s">
        <v>75</v>
      </c>
      <c r="U5" s="90">
        <f t="shared" si="4"/>
        <v>0</v>
      </c>
      <c r="V5" s="92">
        <v>0</v>
      </c>
      <c r="W5" s="92">
        <v>0</v>
      </c>
      <c r="X5" s="93" t="s">
        <v>116</v>
      </c>
      <c r="Y5" s="92">
        <f t="shared" si="5"/>
        <v>0</v>
      </c>
      <c r="Z5" s="90">
        <v>47790</v>
      </c>
      <c r="AA5" s="90">
        <f>'Payment Order-COAN'!O60</f>
        <v>47789.962500000001</v>
      </c>
      <c r="AB5" s="91" t="s">
        <v>7</v>
      </c>
      <c r="AC5" s="90">
        <f t="shared" si="6"/>
        <v>3.7499999998544808E-2</v>
      </c>
      <c r="AD5" s="92">
        <v>47790</v>
      </c>
      <c r="AE5" s="92">
        <f>'Payment Order-COAN'!P60</f>
        <v>47789.962500000001</v>
      </c>
      <c r="AF5" s="93" t="s">
        <v>7</v>
      </c>
      <c r="AG5" s="92">
        <f t="shared" si="7"/>
        <v>3.7499999998544808E-2</v>
      </c>
      <c r="AH5" s="90">
        <v>47790</v>
      </c>
      <c r="AI5" s="90">
        <f>'Payment Order-COAN'!Q60</f>
        <v>47789.962500000001</v>
      </c>
      <c r="AJ5" s="91" t="s">
        <v>7</v>
      </c>
      <c r="AK5" s="90">
        <f t="shared" si="8"/>
        <v>3.7499999998544808E-2</v>
      </c>
      <c r="AL5" s="92">
        <v>47790</v>
      </c>
      <c r="AM5" s="92">
        <v>47789.787499999999</v>
      </c>
      <c r="AN5" s="93" t="s">
        <v>7</v>
      </c>
      <c r="AO5" s="92">
        <f t="shared" si="9"/>
        <v>0.21250000000145519</v>
      </c>
      <c r="AP5" s="90">
        <v>0</v>
      </c>
      <c r="AQ5" s="90"/>
      <c r="AR5" s="91"/>
      <c r="AS5" s="90">
        <f t="shared" si="10"/>
        <v>0</v>
      </c>
      <c r="AT5" s="92">
        <v>0</v>
      </c>
      <c r="AU5" s="92"/>
      <c r="AV5" s="93"/>
      <c r="AW5" s="92">
        <f t="shared" si="11"/>
        <v>0</v>
      </c>
    </row>
    <row r="6" spans="1:49" ht="38.25" x14ac:dyDescent="0.25">
      <c r="A6" s="89" t="s">
        <v>1</v>
      </c>
      <c r="B6" s="90">
        <v>10500</v>
      </c>
      <c r="C6" s="90">
        <f>'Payment Order-COAN'!I18+'Payment Order-COAN'!I27+'Payment Order-COAN'!I29</f>
        <v>7207.7965999999997</v>
      </c>
      <c r="D6" s="91" t="s">
        <v>143</v>
      </c>
      <c r="E6" s="90">
        <f t="shared" si="0"/>
        <v>3292.2034000000003</v>
      </c>
      <c r="F6" s="92">
        <v>6000</v>
      </c>
      <c r="G6" s="92">
        <v>0</v>
      </c>
      <c r="H6" s="93" t="s">
        <v>75</v>
      </c>
      <c r="I6" s="92">
        <f t="shared" si="1"/>
        <v>6000</v>
      </c>
      <c r="J6" s="90">
        <v>6000</v>
      </c>
      <c r="K6" s="90">
        <v>0</v>
      </c>
      <c r="L6" s="91" t="s">
        <v>75</v>
      </c>
      <c r="M6" s="90">
        <f t="shared" si="2"/>
        <v>6000</v>
      </c>
      <c r="N6" s="92">
        <v>6000</v>
      </c>
      <c r="O6" s="92">
        <v>0</v>
      </c>
      <c r="P6" s="93" t="s">
        <v>75</v>
      </c>
      <c r="Q6" s="92">
        <f t="shared" si="3"/>
        <v>6000</v>
      </c>
      <c r="R6" s="90">
        <v>10000</v>
      </c>
      <c r="S6" s="90">
        <v>0</v>
      </c>
      <c r="T6" s="91" t="s">
        <v>75</v>
      </c>
      <c r="U6" s="90">
        <f t="shared" si="4"/>
        <v>10000</v>
      </c>
      <c r="V6" s="92">
        <v>6000</v>
      </c>
      <c r="W6" s="92">
        <v>3335</v>
      </c>
      <c r="X6" s="93" t="s">
        <v>116</v>
      </c>
      <c r="Y6" s="92">
        <f t="shared" si="5"/>
        <v>2665</v>
      </c>
      <c r="Z6" s="90">
        <v>2000</v>
      </c>
      <c r="AA6" s="90"/>
      <c r="AB6" s="91"/>
      <c r="AC6" s="90">
        <f t="shared" si="6"/>
        <v>2000</v>
      </c>
      <c r="AD6" s="92">
        <v>2000</v>
      </c>
      <c r="AE6" s="92"/>
      <c r="AF6" s="93"/>
      <c r="AG6" s="92">
        <f t="shared" si="7"/>
        <v>2000</v>
      </c>
      <c r="AH6" s="90">
        <v>2000</v>
      </c>
      <c r="AI6" s="90">
        <f>'Payment Order-COAN'!Q18</f>
        <v>1690</v>
      </c>
      <c r="AJ6" s="91" t="s">
        <v>56</v>
      </c>
      <c r="AK6" s="90">
        <f t="shared" si="8"/>
        <v>310</v>
      </c>
      <c r="AL6" s="92">
        <v>2000</v>
      </c>
      <c r="AM6" s="92">
        <v>60</v>
      </c>
      <c r="AN6" s="93" t="s">
        <v>56</v>
      </c>
      <c r="AO6" s="92">
        <f t="shared" si="9"/>
        <v>1940</v>
      </c>
      <c r="AP6" s="90">
        <v>6000</v>
      </c>
      <c r="AQ6" s="90"/>
      <c r="AR6" s="91"/>
      <c r="AS6" s="90">
        <f t="shared" si="10"/>
        <v>6000</v>
      </c>
      <c r="AT6" s="92">
        <v>6000</v>
      </c>
      <c r="AU6" s="92"/>
      <c r="AV6" s="93"/>
      <c r="AW6" s="92">
        <f t="shared" si="11"/>
        <v>6000</v>
      </c>
    </row>
    <row r="7" spans="1:49" s="105" customFormat="1" ht="38.25" x14ac:dyDescent="0.25">
      <c r="A7" s="96"/>
      <c r="B7" s="97"/>
      <c r="C7" s="97"/>
      <c r="D7" s="98"/>
      <c r="E7" s="97"/>
      <c r="F7" s="99"/>
      <c r="G7" s="100">
        <f>SUM(G3:G6)</f>
        <v>45732</v>
      </c>
      <c r="H7" s="101" t="s">
        <v>75</v>
      </c>
      <c r="I7" s="99"/>
      <c r="J7" s="97"/>
      <c r="K7" s="102">
        <f>SUM(K3:K6)</f>
        <v>10895</v>
      </c>
      <c r="L7" s="103" t="s">
        <v>75</v>
      </c>
      <c r="M7" s="97"/>
      <c r="N7" s="99"/>
      <c r="O7" s="100">
        <f>SUM(O3:O6)</f>
        <v>13550</v>
      </c>
      <c r="P7" s="101" t="s">
        <v>75</v>
      </c>
      <c r="Q7" s="99"/>
      <c r="R7" s="97"/>
      <c r="S7" s="104">
        <f>SUM(S3:S6)</f>
        <v>6275</v>
      </c>
      <c r="T7" s="103" t="s">
        <v>75</v>
      </c>
      <c r="U7" s="97"/>
      <c r="V7" s="99"/>
      <c r="W7" s="100">
        <f>SUM(W3:W6)</f>
        <v>23982</v>
      </c>
      <c r="X7" s="101" t="s">
        <v>116</v>
      </c>
      <c r="Y7" s="99"/>
      <c r="Z7" s="97"/>
      <c r="AA7" s="97"/>
      <c r="AB7" s="97"/>
      <c r="AC7" s="97"/>
      <c r="AD7" s="99"/>
      <c r="AE7" s="99"/>
      <c r="AF7" s="99"/>
      <c r="AG7" s="99"/>
      <c r="AH7" s="97"/>
      <c r="AI7" s="97"/>
      <c r="AJ7" s="97"/>
      <c r="AK7" s="97"/>
      <c r="AL7" s="99"/>
      <c r="AM7" s="99"/>
      <c r="AN7" s="99"/>
      <c r="AO7" s="99"/>
      <c r="AP7" s="97"/>
      <c r="AQ7" s="97"/>
      <c r="AR7" s="97"/>
      <c r="AS7" s="97"/>
      <c r="AT7" s="99"/>
      <c r="AU7" s="99"/>
      <c r="AV7" s="99"/>
      <c r="AW7" s="99"/>
    </row>
    <row r="8" spans="1:49" s="111" customFormat="1" x14ac:dyDescent="0.25">
      <c r="A8" s="82" t="s">
        <v>5</v>
      </c>
      <c r="B8" s="106">
        <f>SUM(B3:B6)</f>
        <v>124921</v>
      </c>
      <c r="C8" s="106">
        <f>SUM(C3:C6)</f>
        <v>96138.668028571439</v>
      </c>
      <c r="D8" s="107"/>
      <c r="E8" s="106">
        <f>B8-C8</f>
        <v>28782.331971428561</v>
      </c>
      <c r="F8" s="108">
        <f>SUM(F3:F6)</f>
        <v>80366</v>
      </c>
      <c r="G8" s="108">
        <f>SUM(G3:G6)</f>
        <v>45732</v>
      </c>
      <c r="H8" s="109">
        <v>1.8462301587301588</v>
      </c>
      <c r="I8" s="108">
        <f>F8-G8</f>
        <v>34634</v>
      </c>
      <c r="J8" s="106">
        <f>SUM(J3:J6)</f>
        <v>44471</v>
      </c>
      <c r="K8" s="106">
        <f>SUM(K3:K6)</f>
        <v>10895</v>
      </c>
      <c r="L8" s="107">
        <v>1.847718253968254</v>
      </c>
      <c r="M8" s="106">
        <f>J8-K8</f>
        <v>33576</v>
      </c>
      <c r="N8" s="108">
        <f>SUM(N3:N6)</f>
        <v>39680</v>
      </c>
      <c r="O8" s="108">
        <f>'Payment Order-COAN'!L7</f>
        <v>9247.5499999999993</v>
      </c>
      <c r="P8" s="110" t="s">
        <v>76</v>
      </c>
      <c r="Q8" s="108">
        <f>N8-O8</f>
        <v>30432.45</v>
      </c>
      <c r="R8" s="106">
        <f>SUM(R3:R6)</f>
        <v>41564</v>
      </c>
      <c r="S8" s="106">
        <f>'Payment Order-COAN'!M6</f>
        <v>9686.3799999999992</v>
      </c>
      <c r="T8" s="107" t="s">
        <v>55</v>
      </c>
      <c r="U8" s="106">
        <f>R8-S8</f>
        <v>31877.620000000003</v>
      </c>
      <c r="V8" s="108">
        <f>SUM(V3:V6)</f>
        <v>53405</v>
      </c>
      <c r="W8" s="108">
        <f>'Payment Order-COAN'!N5</f>
        <v>12444.48</v>
      </c>
      <c r="X8" s="110" t="s">
        <v>54</v>
      </c>
      <c r="Y8" s="108">
        <f>V8-W8</f>
        <v>40960.520000000004</v>
      </c>
      <c r="Z8" s="106">
        <f>SUM(Z3:Z6)</f>
        <v>75925</v>
      </c>
      <c r="AA8" s="106">
        <f>SUM(AA3:AA6)</f>
        <v>61331.652928571428</v>
      </c>
      <c r="AB8" s="107"/>
      <c r="AC8" s="106">
        <f>Z8-AA8</f>
        <v>14593.347071428572</v>
      </c>
      <c r="AD8" s="108">
        <f>SUM(AD3:AD6)</f>
        <v>83720</v>
      </c>
      <c r="AE8" s="108">
        <f>SUM(AE3:AE6)</f>
        <v>56359.451928571434</v>
      </c>
      <c r="AF8" s="110"/>
      <c r="AG8" s="108">
        <f>SUM(AG3:AG6)</f>
        <v>27360.54807142857</v>
      </c>
      <c r="AH8" s="106">
        <f>SUM(AH3:AH6)</f>
        <v>77660</v>
      </c>
      <c r="AI8" s="106">
        <f>SUM(AI3:AI6)</f>
        <v>68103.85992857143</v>
      </c>
      <c r="AJ8" s="107"/>
      <c r="AK8" s="106">
        <f>AH8-AI8</f>
        <v>9556.1400714285701</v>
      </c>
      <c r="AL8" s="108">
        <f>SUM(AL3:AL6)</f>
        <v>81300</v>
      </c>
      <c r="AM8" s="108">
        <f>SUM(AM3:AM6)</f>
        <v>55779.934928571427</v>
      </c>
      <c r="AN8" s="110"/>
      <c r="AO8" s="108">
        <f>AL8-AM8</f>
        <v>25520.065071428573</v>
      </c>
      <c r="AP8" s="106">
        <f>SUM(AP3:AP6)</f>
        <v>21065</v>
      </c>
      <c r="AQ8" s="106">
        <f>SUM(AQ3:AQ6)</f>
        <v>7342.5224285714285</v>
      </c>
      <c r="AR8" s="107"/>
      <c r="AS8" s="106">
        <f>AP8-AQ8</f>
        <v>13722.477571428572</v>
      </c>
      <c r="AT8" s="108">
        <f>SUM(AT3:AT6)</f>
        <v>20269</v>
      </c>
      <c r="AU8" s="108">
        <f>SUM(AU3:AU6)</f>
        <v>8524.1474285714285</v>
      </c>
      <c r="AV8" s="110"/>
      <c r="AW8" s="108">
        <f>AT8-AU8</f>
        <v>11744.852571428572</v>
      </c>
    </row>
    <row r="9" spans="1:49" s="115" customFormat="1" x14ac:dyDescent="0.25">
      <c r="A9" s="89" t="s">
        <v>77</v>
      </c>
      <c r="B9" s="90">
        <f>B8/2</f>
        <v>62460.5</v>
      </c>
      <c r="C9" s="90">
        <f>C8</f>
        <v>96138.668028571439</v>
      </c>
      <c r="D9" s="91"/>
      <c r="E9" s="112">
        <f>B9-C9</f>
        <v>-33678.168028571439</v>
      </c>
      <c r="F9" s="92">
        <f>F8/2</f>
        <v>40183</v>
      </c>
      <c r="G9" s="92">
        <f>G8</f>
        <v>45732</v>
      </c>
      <c r="H9" s="93"/>
      <c r="I9" s="113">
        <f>F9-G9</f>
        <v>-5549</v>
      </c>
      <c r="J9" s="90">
        <f>J8/2</f>
        <v>22235.5</v>
      </c>
      <c r="K9" s="90">
        <f>K8</f>
        <v>10895</v>
      </c>
      <c r="L9" s="91"/>
      <c r="M9" s="114">
        <f>J9-K9</f>
        <v>11340.5</v>
      </c>
      <c r="N9" s="92">
        <f>N8/2</f>
        <v>19840</v>
      </c>
      <c r="O9" s="92">
        <f>O8</f>
        <v>9247.5499999999993</v>
      </c>
      <c r="P9" s="93"/>
      <c r="Q9" s="113">
        <f>N9-O9</f>
        <v>10592.45</v>
      </c>
      <c r="R9" s="90">
        <f>R8/2</f>
        <v>20782</v>
      </c>
      <c r="S9" s="90">
        <f>S8</f>
        <v>9686.3799999999992</v>
      </c>
      <c r="T9" s="91"/>
      <c r="U9" s="90">
        <f>R9-S9</f>
        <v>11095.62</v>
      </c>
      <c r="V9" s="92">
        <f>V8/2</f>
        <v>26702.5</v>
      </c>
      <c r="W9" s="92">
        <f>W8</f>
        <v>12444.48</v>
      </c>
      <c r="X9" s="93"/>
      <c r="Y9" s="113">
        <f>V9-W9</f>
        <v>14258.02</v>
      </c>
      <c r="Z9" s="90">
        <f>Z8/2</f>
        <v>37962.5</v>
      </c>
      <c r="AA9" s="90">
        <f>AA8</f>
        <v>61331.652928571428</v>
      </c>
      <c r="AB9" s="91"/>
      <c r="AC9" s="112">
        <f>Z9-AA9</f>
        <v>-23369.152928571428</v>
      </c>
      <c r="AD9" s="92">
        <f>AD8/2</f>
        <v>41860</v>
      </c>
      <c r="AE9" s="92">
        <f>AE8</f>
        <v>56359.451928571434</v>
      </c>
      <c r="AF9" s="93"/>
      <c r="AG9" s="112">
        <f>AD9-AE9</f>
        <v>-14499.451928571434</v>
      </c>
      <c r="AH9" s="90">
        <f>AH8/2</f>
        <v>38830</v>
      </c>
      <c r="AI9" s="90">
        <f>AI8</f>
        <v>68103.85992857143</v>
      </c>
      <c r="AJ9" s="91"/>
      <c r="AK9" s="112">
        <f>AH9-AI9</f>
        <v>-29273.85992857143</v>
      </c>
      <c r="AL9" s="92">
        <f>AL8/2</f>
        <v>40650</v>
      </c>
      <c r="AM9" s="92">
        <f>AM8</f>
        <v>55779.934928571427</v>
      </c>
      <c r="AN9" s="93"/>
      <c r="AO9" s="112">
        <f>AL9-AM9</f>
        <v>-15129.934928571427</v>
      </c>
      <c r="AP9" s="90">
        <f>AP8/2</f>
        <v>10532.5</v>
      </c>
      <c r="AQ9" s="90">
        <f>AQ8</f>
        <v>7342.5224285714285</v>
      </c>
      <c r="AR9" s="91"/>
      <c r="AS9" s="114">
        <f>AP9-AQ9</f>
        <v>3189.9775714285715</v>
      </c>
      <c r="AT9" s="92">
        <f>AT8/2</f>
        <v>10134.5</v>
      </c>
      <c r="AU9" s="92">
        <f>AU8</f>
        <v>8524.1474285714285</v>
      </c>
      <c r="AV9" s="93"/>
      <c r="AW9" s="113">
        <f>AT9-AU9</f>
        <v>1610.3525714285715</v>
      </c>
    </row>
    <row r="10" spans="1:49" ht="39" thickBot="1" x14ac:dyDescent="0.3">
      <c r="A10" s="87" t="s">
        <v>78</v>
      </c>
      <c r="B10" s="114"/>
      <c r="C10" s="130">
        <f>C9/B9</f>
        <v>1.5391914574582566</v>
      </c>
      <c r="D10" s="131"/>
      <c r="E10" s="132"/>
      <c r="F10" s="113"/>
      <c r="G10" s="117">
        <f>G7/F9</f>
        <v>1.1380932235024761</v>
      </c>
      <c r="H10" s="88"/>
      <c r="I10" s="113"/>
      <c r="J10" s="114"/>
      <c r="K10" s="116">
        <f>K7/J9</f>
        <v>0.4899822356142205</v>
      </c>
      <c r="L10" s="85"/>
      <c r="M10" s="114"/>
      <c r="N10" s="113"/>
      <c r="O10" s="117">
        <f>O7/N9</f>
        <v>0.68296370967741937</v>
      </c>
      <c r="P10" s="88"/>
      <c r="Q10" s="113"/>
      <c r="R10" s="114"/>
      <c r="S10" s="116">
        <f>S7/R9</f>
        <v>0.30194398999133865</v>
      </c>
      <c r="T10" s="85"/>
      <c r="U10" s="114"/>
      <c r="V10" s="113"/>
      <c r="W10" s="117">
        <f>W7/V9</f>
        <v>0.89811815373092407</v>
      </c>
      <c r="X10" s="88"/>
      <c r="Y10" s="113"/>
      <c r="Z10" s="114"/>
      <c r="AA10" s="116">
        <f>AA9/Z9</f>
        <v>1.6155851940354673</v>
      </c>
      <c r="AB10" s="85"/>
      <c r="AC10" s="114"/>
      <c r="AD10" s="113"/>
      <c r="AE10" s="117">
        <f>AE9/AD9</f>
        <v>1.3463796447341481</v>
      </c>
      <c r="AF10" s="88"/>
      <c r="AG10" s="113"/>
      <c r="AH10" s="114"/>
      <c r="AI10" s="116">
        <f>AI9/AH9</f>
        <v>1.7538980151576469</v>
      </c>
      <c r="AJ10" s="85"/>
      <c r="AK10" s="114"/>
      <c r="AL10" s="113"/>
      <c r="AM10" s="117">
        <f>AM9/AL9</f>
        <v>1.3722001212440695</v>
      </c>
      <c r="AN10" s="88"/>
      <c r="AO10" s="113"/>
      <c r="AP10" s="114"/>
      <c r="AQ10" s="116">
        <f>AQ9/AP9</f>
        <v>0.69713006680004064</v>
      </c>
      <c r="AR10" s="85"/>
      <c r="AS10" s="114"/>
      <c r="AT10" s="113"/>
      <c r="AU10" s="117">
        <f>AU9/AT9</f>
        <v>0.84110192200615996</v>
      </c>
      <c r="AV10" s="88"/>
      <c r="AW10" s="113"/>
    </row>
    <row r="11" spans="1:49" x14ac:dyDescent="0.25">
      <c r="A11" s="118"/>
      <c r="C11" s="133">
        <f>B9+F9+J9+N9+R9+V9+Z9+AH9+AL9+AP9+AT9</f>
        <v>330313</v>
      </c>
      <c r="D11" s="134">
        <f>C9+G9+K9+O9+S9+W9+AA9+AI9+AM9+AQ9+AU9-Z5*0</f>
        <v>385226.19567142858</v>
      </c>
      <c r="E11" s="135">
        <f>D11/C11</f>
        <v>1.1662459414901278</v>
      </c>
    </row>
    <row r="12" spans="1:49" ht="13.5" thickBot="1" x14ac:dyDescent="0.3">
      <c r="A12" s="118"/>
      <c r="C12" s="136" t="s">
        <v>146</v>
      </c>
      <c r="D12" s="137" t="s">
        <v>147</v>
      </c>
      <c r="E12" s="138" t="s">
        <v>148</v>
      </c>
    </row>
    <row r="13" spans="1:49" s="123" customFormat="1" x14ac:dyDescent="0.25">
      <c r="A13" s="122" t="s">
        <v>66</v>
      </c>
      <c r="D13" s="124"/>
    </row>
    <row r="14" spans="1:49" s="123" customFormat="1" x14ac:dyDescent="0.25">
      <c r="A14" s="125" t="s">
        <v>72</v>
      </c>
      <c r="D14" s="124"/>
    </row>
    <row r="15" spans="1:49" s="123" customFormat="1" x14ac:dyDescent="0.25">
      <c r="A15" s="125" t="s">
        <v>79</v>
      </c>
      <c r="D15" s="124"/>
    </row>
    <row r="16" spans="1:49" s="123" customFormat="1" x14ac:dyDescent="0.25">
      <c r="A16" s="125" t="s">
        <v>80</v>
      </c>
      <c r="D16" s="124"/>
    </row>
    <row r="17" spans="1:4" s="123" customFormat="1" x14ac:dyDescent="0.25">
      <c r="A17" s="125" t="s">
        <v>81</v>
      </c>
      <c r="D17" s="124"/>
    </row>
    <row r="18" spans="1:4" s="123" customFormat="1" x14ac:dyDescent="0.25">
      <c r="A18" s="125" t="s">
        <v>73</v>
      </c>
      <c r="D18" s="124"/>
    </row>
    <row r="19" spans="1:4" s="123" customFormat="1" x14ac:dyDescent="0.25">
      <c r="A19" s="122" t="s">
        <v>71</v>
      </c>
      <c r="D19" s="124"/>
    </row>
    <row r="20" spans="1:4" s="123" customFormat="1" x14ac:dyDescent="0.2">
      <c r="A20" s="126" t="s">
        <v>74</v>
      </c>
      <c r="D20" s="124"/>
    </row>
    <row r="21" spans="1:4" s="123" customFormat="1" x14ac:dyDescent="0.2">
      <c r="A21" s="126" t="s">
        <v>82</v>
      </c>
      <c r="D21" s="124"/>
    </row>
    <row r="22" spans="1:4" s="123" customFormat="1" x14ac:dyDescent="0.2">
      <c r="A22" s="126" t="s">
        <v>83</v>
      </c>
      <c r="D22" s="124"/>
    </row>
    <row r="23" spans="1:4" x14ac:dyDescent="0.25">
      <c r="A23" s="127"/>
      <c r="B23" s="120"/>
      <c r="C23" s="120"/>
    </row>
    <row r="24" spans="1:4" x14ac:dyDescent="0.25">
      <c r="B24" s="128"/>
      <c r="C24" s="128"/>
      <c r="D24" s="129"/>
    </row>
  </sheetData>
  <mergeCells count="12">
    <mergeCell ref="B1:E1"/>
    <mergeCell ref="Z1:AC1"/>
    <mergeCell ref="AD1:AG1"/>
    <mergeCell ref="AH1:AK1"/>
    <mergeCell ref="AL1:AO1"/>
    <mergeCell ref="AP1:AS1"/>
    <mergeCell ref="AT1:AW1"/>
    <mergeCell ref="F1:I1"/>
    <mergeCell ref="J1:M1"/>
    <mergeCell ref="N1:Q1"/>
    <mergeCell ref="R1:U1"/>
    <mergeCell ref="V1:Y1"/>
  </mergeCells>
  <pageMargins left="0.23622047244094491" right="0.23622047244094491" top="0.74803149606299213" bottom="0.74803149606299213" header="0.31496062992125984" footer="0.31496062992125984"/>
  <pageSetup paperSize="9" scale="67" fitToWidth="0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opLeftCell="F1" workbookViewId="0">
      <pane ySplit="1" topLeftCell="A23" activePane="bottomLeft" state="frozen"/>
      <selection activeCell="E1" sqref="E1"/>
      <selection pane="bottomLeft" activeCell="F1" sqref="F1:P1048576"/>
    </sheetView>
  </sheetViews>
  <sheetFormatPr defaultColWidth="8.875" defaultRowHeight="15.75" x14ac:dyDescent="0.25"/>
  <cols>
    <col min="1" max="2" width="8.875" style="3"/>
    <col min="3" max="3" width="26.875" style="10" customWidth="1"/>
    <col min="4" max="4" width="11.375" style="2" customWidth="1"/>
    <col min="5" max="5" width="9.375" style="53" bestFit="1" customWidth="1"/>
    <col min="6" max="6" width="11.375" style="2" customWidth="1"/>
    <col min="7" max="7" width="28.875" style="10" customWidth="1"/>
    <col min="8" max="8" width="9.375" style="2" customWidth="1"/>
    <col min="9" max="9" width="11.375" style="2" customWidth="1"/>
    <col min="10" max="14" width="10.375" style="2" customWidth="1"/>
    <col min="15" max="15" width="11.375" style="2" customWidth="1"/>
    <col min="16" max="20" width="10.375" style="2" bestFit="1" customWidth="1"/>
    <col min="21" max="21" width="11.375" style="55" bestFit="1" customWidth="1"/>
    <col min="22" max="16384" width="8.875" style="3"/>
  </cols>
  <sheetData>
    <row r="1" spans="1:22" ht="108.75" customHeight="1" x14ac:dyDescent="0.25">
      <c r="A1" s="1" t="s">
        <v>35</v>
      </c>
      <c r="B1" s="1" t="s">
        <v>20</v>
      </c>
      <c r="C1" s="1" t="s">
        <v>9</v>
      </c>
      <c r="D1" s="2" t="s">
        <v>8</v>
      </c>
      <c r="E1" s="50" t="s">
        <v>119</v>
      </c>
      <c r="F1" s="2" t="s">
        <v>5</v>
      </c>
      <c r="G1" s="1" t="s">
        <v>3</v>
      </c>
      <c r="H1" s="2" t="s">
        <v>10</v>
      </c>
      <c r="I1" s="11" t="s">
        <v>22</v>
      </c>
      <c r="J1" s="11" t="s">
        <v>23</v>
      </c>
      <c r="K1" s="11" t="s">
        <v>24</v>
      </c>
      <c r="L1" s="11" t="s">
        <v>25</v>
      </c>
      <c r="M1" s="11" t="s">
        <v>26</v>
      </c>
      <c r="N1" s="11" t="s">
        <v>27</v>
      </c>
      <c r="O1" s="11" t="s">
        <v>28</v>
      </c>
      <c r="P1" s="11" t="s">
        <v>29</v>
      </c>
      <c r="Q1" s="11" t="s">
        <v>30</v>
      </c>
      <c r="R1" s="11" t="s">
        <v>31</v>
      </c>
      <c r="S1" s="11" t="s">
        <v>32</v>
      </c>
      <c r="T1" s="11" t="s">
        <v>33</v>
      </c>
      <c r="U1" s="55" t="s">
        <v>121</v>
      </c>
      <c r="V1" s="3" t="s">
        <v>122</v>
      </c>
    </row>
    <row r="2" spans="1:22" s="6" customFormat="1" ht="47.25" x14ac:dyDescent="0.25">
      <c r="A2" s="4">
        <v>4606</v>
      </c>
      <c r="B2" s="4">
        <v>2016</v>
      </c>
      <c r="C2" s="4" t="s">
        <v>11</v>
      </c>
      <c r="D2" s="5">
        <v>4136.3599999999997</v>
      </c>
      <c r="E2" s="51">
        <f>D2*10%</f>
        <v>413.63599999999997</v>
      </c>
      <c r="F2" s="5">
        <f>D2+E2</f>
        <v>4549.9959999999992</v>
      </c>
      <c r="G2" s="4" t="s">
        <v>130</v>
      </c>
      <c r="H2" s="5">
        <f>F2/12</f>
        <v>379.16633333333328</v>
      </c>
      <c r="I2" s="5"/>
      <c r="J2" s="5"/>
      <c r="K2" s="5"/>
      <c r="L2" s="5"/>
      <c r="M2" s="5"/>
      <c r="N2" s="5"/>
      <c r="O2" s="5">
        <f>H2*3</f>
        <v>1137.4989999999998</v>
      </c>
      <c r="P2" s="5">
        <f>H2*1</f>
        <v>379.16633333333328</v>
      </c>
      <c r="Q2" s="5">
        <f>H2*2</f>
        <v>758.33266666666657</v>
      </c>
      <c r="R2" s="5">
        <f>H2*2</f>
        <v>758.33266666666657</v>
      </c>
      <c r="S2" s="5">
        <f>H2*2</f>
        <v>758.33266666666657</v>
      </c>
      <c r="T2" s="5">
        <f>H2*2</f>
        <v>758.33266666666657</v>
      </c>
      <c r="U2" s="56">
        <f>SUM(I2:T2)</f>
        <v>4549.9959999999992</v>
      </c>
      <c r="V2" s="6" t="str">
        <f>IF(U2=F2,"OK", "ALLERT")</f>
        <v>OK</v>
      </c>
    </row>
    <row r="3" spans="1:22" s="6" customFormat="1" ht="31.5" x14ac:dyDescent="0.25">
      <c r="A3" s="6">
        <v>4451</v>
      </c>
      <c r="B3" s="6">
        <v>2016</v>
      </c>
      <c r="C3" s="4" t="s">
        <v>12</v>
      </c>
      <c r="D3" s="5">
        <v>1848</v>
      </c>
      <c r="E3" s="51">
        <f>D3*10%</f>
        <v>184.8</v>
      </c>
      <c r="F3" s="5">
        <f>D3+E3</f>
        <v>2032.8</v>
      </c>
      <c r="G3" s="4" t="s">
        <v>129</v>
      </c>
      <c r="H3" s="5">
        <f>F3/12</f>
        <v>169.4</v>
      </c>
      <c r="I3" s="5">
        <f>$H$3</f>
        <v>169.4</v>
      </c>
      <c r="J3" s="5">
        <f t="shared" ref="J3:T3" si="0">$H$3</f>
        <v>169.4</v>
      </c>
      <c r="K3" s="5">
        <f t="shared" si="0"/>
        <v>169.4</v>
      </c>
      <c r="L3" s="5">
        <f t="shared" si="0"/>
        <v>169.4</v>
      </c>
      <c r="M3" s="5">
        <f t="shared" si="0"/>
        <v>169.4</v>
      </c>
      <c r="N3" s="5">
        <f t="shared" si="0"/>
        <v>169.4</v>
      </c>
      <c r="O3" s="5">
        <f t="shared" si="0"/>
        <v>169.4</v>
      </c>
      <c r="P3" s="5">
        <f t="shared" si="0"/>
        <v>169.4</v>
      </c>
      <c r="Q3" s="5">
        <f t="shared" si="0"/>
        <v>169.4</v>
      </c>
      <c r="R3" s="5">
        <f t="shared" si="0"/>
        <v>169.4</v>
      </c>
      <c r="S3" s="5">
        <f t="shared" si="0"/>
        <v>169.4</v>
      </c>
      <c r="T3" s="5">
        <f t="shared" si="0"/>
        <v>169.4</v>
      </c>
      <c r="U3" s="56">
        <f t="shared" ref="U3:U17" si="1">SUM(I3:T3)</f>
        <v>2032.8000000000004</v>
      </c>
      <c r="V3" s="6" t="str">
        <f>IF(U3=F3,"OK", "ALLERT")</f>
        <v>OK</v>
      </c>
    </row>
    <row r="4" spans="1:22" s="6" customFormat="1" ht="31.5" x14ac:dyDescent="0.25">
      <c r="A4" s="6">
        <v>3456</v>
      </c>
      <c r="B4" s="6">
        <v>2016</v>
      </c>
      <c r="C4" s="4" t="s">
        <v>120</v>
      </c>
      <c r="D4" s="5">
        <v>9827.52</v>
      </c>
      <c r="E4" s="5">
        <v>50</v>
      </c>
      <c r="F4" s="5">
        <f>D4+E4</f>
        <v>9877.52</v>
      </c>
      <c r="G4" s="4" t="s">
        <v>128</v>
      </c>
      <c r="H4" s="5">
        <f>F4/12</f>
        <v>823.12666666666667</v>
      </c>
      <c r="I4" s="5"/>
      <c r="J4" s="5"/>
      <c r="K4" s="5"/>
      <c r="L4" s="5"/>
      <c r="M4" s="5"/>
      <c r="N4" s="5"/>
      <c r="O4" s="5">
        <f>H4*3</f>
        <v>2469.38</v>
      </c>
      <c r="P4" s="5">
        <f>H4*1</f>
        <v>823.12666666666667</v>
      </c>
      <c r="Q4" s="5">
        <f>H4*2</f>
        <v>1646.2533333333333</v>
      </c>
      <c r="R4" s="5">
        <f>H4*2</f>
        <v>1646.2533333333333</v>
      </c>
      <c r="S4" s="5">
        <f>H4*2</f>
        <v>1646.2533333333333</v>
      </c>
      <c r="T4" s="5">
        <f>H4*2</f>
        <v>1646.2533333333333</v>
      </c>
      <c r="U4" s="56">
        <f t="shared" si="1"/>
        <v>9877.52</v>
      </c>
      <c r="V4" s="6" t="str">
        <f>IF(U4=F4,"OK", "ALLERT")</f>
        <v>OK</v>
      </c>
    </row>
    <row r="5" spans="1:22" s="7" customFormat="1" x14ac:dyDescent="0.25">
      <c r="A5" s="7">
        <v>3734</v>
      </c>
      <c r="B5" s="7">
        <v>2016</v>
      </c>
      <c r="C5" s="8" t="s">
        <v>13</v>
      </c>
      <c r="D5" s="9">
        <v>12444.48</v>
      </c>
      <c r="E5" s="9"/>
      <c r="F5" s="9">
        <v>12444.48</v>
      </c>
      <c r="G5" s="8" t="s">
        <v>14</v>
      </c>
      <c r="H5" s="9"/>
      <c r="I5" s="9"/>
      <c r="J5" s="9"/>
      <c r="K5" s="9"/>
      <c r="L5" s="9"/>
      <c r="M5" s="9"/>
      <c r="N5" s="9">
        <f>F5</f>
        <v>12444.48</v>
      </c>
      <c r="O5" s="9"/>
      <c r="P5" s="9"/>
      <c r="Q5" s="9"/>
      <c r="R5" s="9"/>
      <c r="S5" s="9"/>
      <c r="T5" s="9"/>
      <c r="U5" s="56">
        <f t="shared" si="1"/>
        <v>12444.48</v>
      </c>
      <c r="V5" s="6" t="str">
        <f t="shared" ref="V5:V17" si="2">IF(U5=F5,"OK", "ALLERT")</f>
        <v>OK</v>
      </c>
    </row>
    <row r="6" spans="1:22" s="7" customFormat="1" x14ac:dyDescent="0.25">
      <c r="A6" s="7">
        <v>3729</v>
      </c>
      <c r="B6" s="7">
        <v>2016</v>
      </c>
      <c r="C6" s="8" t="s">
        <v>13</v>
      </c>
      <c r="D6" s="9">
        <v>9686.3799999999992</v>
      </c>
      <c r="E6" s="9"/>
      <c r="F6" s="9">
        <v>9686.3799999999992</v>
      </c>
      <c r="G6" s="8" t="s">
        <v>15</v>
      </c>
      <c r="H6" s="9"/>
      <c r="I6" s="9"/>
      <c r="J6" s="9"/>
      <c r="K6" s="9"/>
      <c r="L6" s="9"/>
      <c r="M6" s="9">
        <f>F6</f>
        <v>9686.3799999999992</v>
      </c>
      <c r="N6" s="9"/>
      <c r="O6" s="9"/>
      <c r="P6" s="9"/>
      <c r="Q6" s="9"/>
      <c r="R6" s="9"/>
      <c r="S6" s="9"/>
      <c r="T6" s="9"/>
      <c r="U6" s="56">
        <f t="shared" si="1"/>
        <v>9686.3799999999992</v>
      </c>
      <c r="V6" s="6" t="str">
        <f t="shared" si="2"/>
        <v>OK</v>
      </c>
    </row>
    <row r="7" spans="1:22" s="7" customFormat="1" ht="31.5" x14ac:dyDescent="0.25">
      <c r="A7" s="7">
        <v>3726</v>
      </c>
      <c r="B7" s="7">
        <v>2016</v>
      </c>
      <c r="C7" s="8" t="s">
        <v>13</v>
      </c>
      <c r="D7" s="9">
        <v>9247.5499999999993</v>
      </c>
      <c r="E7" s="9"/>
      <c r="F7" s="9">
        <v>9247.5499999999993</v>
      </c>
      <c r="G7" s="8" t="s">
        <v>16</v>
      </c>
      <c r="H7" s="9"/>
      <c r="I7" s="9"/>
      <c r="J7" s="9"/>
      <c r="K7" s="9"/>
      <c r="L7" s="9">
        <f>F7</f>
        <v>9247.5499999999993</v>
      </c>
      <c r="M7" s="9"/>
      <c r="N7" s="9"/>
      <c r="O7" s="9"/>
      <c r="P7" s="9"/>
      <c r="Q7" s="9"/>
      <c r="R7" s="9"/>
      <c r="S7" s="9"/>
      <c r="T7" s="9"/>
      <c r="U7" s="56">
        <f t="shared" si="1"/>
        <v>9247.5499999999993</v>
      </c>
      <c r="V7" s="6" t="str">
        <f t="shared" si="2"/>
        <v>OK</v>
      </c>
    </row>
    <row r="8" spans="1:22" s="7" customFormat="1" x14ac:dyDescent="0.25">
      <c r="A8" s="7">
        <v>3722</v>
      </c>
      <c r="B8" s="7">
        <v>2016</v>
      </c>
      <c r="C8" s="8" t="s">
        <v>13</v>
      </c>
      <c r="D8" s="9">
        <v>18724.419999999998</v>
      </c>
      <c r="E8" s="9"/>
      <c r="F8" s="9">
        <v>18724.419999999998</v>
      </c>
      <c r="G8" s="8" t="s">
        <v>17</v>
      </c>
      <c r="H8" s="9"/>
      <c r="I8" s="9"/>
      <c r="J8" s="9">
        <f>F8</f>
        <v>18724.419999999998</v>
      </c>
      <c r="K8" s="9"/>
      <c r="L8" s="9"/>
      <c r="M8" s="9"/>
      <c r="N8" s="9"/>
      <c r="O8" s="9"/>
      <c r="P8" s="9"/>
      <c r="Q8" s="9"/>
      <c r="R8" s="9"/>
      <c r="S8" s="9"/>
      <c r="T8" s="9"/>
      <c r="U8" s="56">
        <f t="shared" si="1"/>
        <v>18724.419999999998</v>
      </c>
      <c r="V8" s="6" t="str">
        <f t="shared" si="2"/>
        <v>OK</v>
      </c>
    </row>
    <row r="9" spans="1:22" s="7" customFormat="1" x14ac:dyDescent="0.25">
      <c r="A9" s="7">
        <v>3725</v>
      </c>
      <c r="B9" s="7">
        <v>2016</v>
      </c>
      <c r="C9" s="8" t="s">
        <v>13</v>
      </c>
      <c r="D9" s="9">
        <v>10363.5</v>
      </c>
      <c r="E9" s="9"/>
      <c r="F9" s="9">
        <v>10363.5</v>
      </c>
      <c r="G9" s="8" t="s">
        <v>18</v>
      </c>
      <c r="H9" s="9"/>
      <c r="I9" s="9"/>
      <c r="J9" s="9"/>
      <c r="K9" s="9">
        <f>F9</f>
        <v>10363.5</v>
      </c>
      <c r="L9" s="9"/>
      <c r="M9" s="9"/>
      <c r="N9" s="9"/>
      <c r="O9" s="9"/>
      <c r="P9" s="9"/>
      <c r="Q9" s="9"/>
      <c r="R9" s="9"/>
      <c r="S9" s="9"/>
      <c r="T9" s="9"/>
      <c r="U9" s="56">
        <f t="shared" si="1"/>
        <v>10363.5</v>
      </c>
      <c r="V9" s="6" t="str">
        <f t="shared" si="2"/>
        <v>OK</v>
      </c>
    </row>
    <row r="10" spans="1:22" s="57" customFormat="1" x14ac:dyDescent="0.25">
      <c r="C10" s="59"/>
    </row>
    <row r="11" spans="1:22" s="6" customFormat="1" ht="31.5" x14ac:dyDescent="0.25">
      <c r="A11" s="6">
        <v>1874</v>
      </c>
      <c r="B11" s="6">
        <v>2016</v>
      </c>
      <c r="C11" s="4" t="s">
        <v>19</v>
      </c>
      <c r="D11" s="5">
        <v>11</v>
      </c>
      <c r="E11" s="5"/>
      <c r="F11" s="5">
        <v>11</v>
      </c>
      <c r="G11" s="4" t="s">
        <v>131</v>
      </c>
      <c r="H11" s="5"/>
      <c r="I11" s="5">
        <f>F11</f>
        <v>11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6">
        <f t="shared" si="1"/>
        <v>11</v>
      </c>
      <c r="V11" s="6" t="str">
        <f>IF(U11=F11,"OK", "ALLERT")</f>
        <v>OK</v>
      </c>
    </row>
    <row r="12" spans="1:22" s="6" customFormat="1" ht="31.5" x14ac:dyDescent="0.25">
      <c r="A12" s="6">
        <v>2311</v>
      </c>
      <c r="B12" s="6">
        <v>2016</v>
      </c>
      <c r="C12" s="4" t="s">
        <v>21</v>
      </c>
      <c r="D12" s="5">
        <v>723.5</v>
      </c>
      <c r="E12" s="5"/>
      <c r="F12" s="5">
        <v>723.5</v>
      </c>
      <c r="G12" s="4" t="s">
        <v>132</v>
      </c>
      <c r="H12" s="5"/>
      <c r="I12" s="5">
        <f>F12</f>
        <v>723.5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6">
        <f t="shared" si="1"/>
        <v>723.5</v>
      </c>
      <c r="V12" s="6" t="str">
        <f t="shared" si="2"/>
        <v>OK</v>
      </c>
    </row>
    <row r="13" spans="1:22" s="6" customFormat="1" ht="31.5" x14ac:dyDescent="0.25">
      <c r="A13" s="6">
        <v>1873</v>
      </c>
      <c r="B13" s="6">
        <v>2016</v>
      </c>
      <c r="C13" s="4" t="s">
        <v>21</v>
      </c>
      <c r="D13" s="5">
        <v>1036.06</v>
      </c>
      <c r="E13" s="5"/>
      <c r="F13" s="5">
        <v>1036.06</v>
      </c>
      <c r="G13" s="4" t="s">
        <v>133</v>
      </c>
      <c r="H13" s="5"/>
      <c r="I13" s="5">
        <f>F13</f>
        <v>1036.06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6">
        <f t="shared" si="1"/>
        <v>1036.06</v>
      </c>
      <c r="V13" s="6" t="str">
        <f t="shared" si="2"/>
        <v>OK</v>
      </c>
    </row>
    <row r="14" spans="1:22" s="57" customFormat="1" x14ac:dyDescent="0.25">
      <c r="C14" s="59"/>
      <c r="D14" s="58"/>
      <c r="E14" s="58"/>
      <c r="F14" s="58"/>
      <c r="G14" s="59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2" s="6" customFormat="1" ht="31.5" x14ac:dyDescent="0.25">
      <c r="A15" s="6">
        <v>1172</v>
      </c>
      <c r="B15" s="6">
        <v>2016</v>
      </c>
      <c r="C15" s="4" t="s">
        <v>21</v>
      </c>
      <c r="D15" s="5">
        <v>813.84</v>
      </c>
      <c r="E15" s="5"/>
      <c r="F15" s="5">
        <v>813.84</v>
      </c>
      <c r="G15" s="4" t="s">
        <v>134</v>
      </c>
      <c r="H15" s="5"/>
      <c r="I15" s="5">
        <f>F15</f>
        <v>813.84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6">
        <f t="shared" si="1"/>
        <v>813.84</v>
      </c>
      <c r="V15" s="6" t="str">
        <f t="shared" si="2"/>
        <v>OK</v>
      </c>
    </row>
    <row r="16" spans="1:22" s="57" customFormat="1" x14ac:dyDescent="0.25">
      <c r="C16" s="59"/>
      <c r="D16" s="58"/>
      <c r="E16" s="58"/>
      <c r="F16" s="58"/>
      <c r="G16" s="59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2" s="6" customFormat="1" ht="47.25" x14ac:dyDescent="0.25">
      <c r="A17" s="6">
        <v>6170</v>
      </c>
      <c r="B17" s="6">
        <v>2016</v>
      </c>
      <c r="C17" s="4" t="s">
        <v>57</v>
      </c>
      <c r="D17" s="5">
        <f>14322.09-D18-D19</f>
        <v>12378.09</v>
      </c>
      <c r="E17" s="5"/>
      <c r="F17" s="5">
        <f>14322.09-F18-F19</f>
        <v>12378.09</v>
      </c>
      <c r="G17" s="4" t="s">
        <v>138</v>
      </c>
      <c r="H17" s="5"/>
      <c r="I17" s="5">
        <f>3330+5/7+85.38/7+0.01</f>
        <v>3342.9214285714288</v>
      </c>
      <c r="J17" s="5"/>
      <c r="K17" s="5"/>
      <c r="L17" s="5"/>
      <c r="M17" s="5"/>
      <c r="N17" s="5">
        <f>677.7</f>
        <v>677.7</v>
      </c>
      <c r="O17" s="5">
        <f t="shared" ref="O17:T17" si="3">6000/6+2280/6+5/7+85.38/7</f>
        <v>1392.9114285714286</v>
      </c>
      <c r="P17" s="5">
        <f t="shared" si="3"/>
        <v>1392.9114285714286</v>
      </c>
      <c r="Q17" s="5">
        <f t="shared" si="3"/>
        <v>1392.9114285714286</v>
      </c>
      <c r="R17" s="5">
        <f t="shared" si="3"/>
        <v>1392.9114285714286</v>
      </c>
      <c r="S17" s="5">
        <f t="shared" si="3"/>
        <v>1392.9114285714286</v>
      </c>
      <c r="T17" s="5">
        <f t="shared" si="3"/>
        <v>1392.9114285714286</v>
      </c>
      <c r="U17" s="56">
        <f t="shared" si="1"/>
        <v>12378.089999999997</v>
      </c>
      <c r="V17" s="6" t="str">
        <f t="shared" si="2"/>
        <v>OK</v>
      </c>
    </row>
    <row r="18" spans="1:22" s="15" customFormat="1" ht="31.5" x14ac:dyDescent="0.25">
      <c r="A18" s="15">
        <v>6170</v>
      </c>
      <c r="B18" s="15">
        <v>2016</v>
      </c>
      <c r="C18" s="17" t="s">
        <v>58</v>
      </c>
      <c r="D18" s="16">
        <v>1750</v>
      </c>
      <c r="E18" s="16"/>
      <c r="F18" s="16">
        <v>1750</v>
      </c>
      <c r="G18" s="17" t="s">
        <v>135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v>1690</v>
      </c>
      <c r="R18" s="16">
        <v>60</v>
      </c>
      <c r="S18" s="16"/>
      <c r="T18" s="16"/>
      <c r="U18" s="56">
        <f t="shared" ref="U18:U61" si="4">SUM(I18:T18)</f>
        <v>1750</v>
      </c>
      <c r="V18" s="6" t="str">
        <f t="shared" ref="V18:V61" si="5">IF(U18=F18,"OK", "ALLERT")</f>
        <v>OK</v>
      </c>
    </row>
    <row r="19" spans="1:22" s="6" customFormat="1" ht="47.25" x14ac:dyDescent="0.25">
      <c r="A19" s="6">
        <v>6170</v>
      </c>
      <c r="B19" s="6">
        <v>2016</v>
      </c>
      <c r="C19" s="4" t="s">
        <v>6</v>
      </c>
      <c r="D19" s="5">
        <v>194</v>
      </c>
      <c r="E19" s="5"/>
      <c r="F19" s="5">
        <v>194</v>
      </c>
      <c r="G19" s="4" t="s">
        <v>136</v>
      </c>
      <c r="H19" s="5"/>
      <c r="I19" s="5"/>
      <c r="J19" s="5"/>
      <c r="K19" s="5"/>
      <c r="L19" s="5"/>
      <c r="M19" s="5"/>
      <c r="N19" s="5"/>
      <c r="O19" s="5"/>
      <c r="P19" s="5"/>
      <c r="Q19" s="5">
        <v>194</v>
      </c>
      <c r="R19" s="5"/>
      <c r="S19" s="5"/>
      <c r="T19" s="5"/>
      <c r="U19" s="56">
        <f t="shared" si="4"/>
        <v>194</v>
      </c>
      <c r="V19" s="6" t="str">
        <f t="shared" si="5"/>
        <v>OK</v>
      </c>
    </row>
    <row r="20" spans="1:22" s="6" customFormat="1" ht="47.25" x14ac:dyDescent="0.25">
      <c r="A20" s="6">
        <v>6666</v>
      </c>
      <c r="B20" s="6">
        <v>2016</v>
      </c>
      <c r="C20" s="4" t="s">
        <v>6</v>
      </c>
      <c r="D20" s="5">
        <v>2588.85</v>
      </c>
      <c r="E20" s="5"/>
      <c r="F20" s="5">
        <v>2588.85</v>
      </c>
      <c r="G20" s="4" t="s">
        <v>139</v>
      </c>
      <c r="H20" s="5"/>
      <c r="I20" s="5">
        <f>F20</f>
        <v>2588.85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6">
        <f t="shared" si="4"/>
        <v>2588.85</v>
      </c>
      <c r="V20" s="6" t="str">
        <f t="shared" si="5"/>
        <v>OK</v>
      </c>
    </row>
    <row r="21" spans="1:22" s="6" customFormat="1" ht="47.25" x14ac:dyDescent="0.25">
      <c r="A21" s="6">
        <v>6686</v>
      </c>
      <c r="B21" s="6">
        <v>2016</v>
      </c>
      <c r="C21" s="4" t="s">
        <v>6</v>
      </c>
      <c r="D21" s="5">
        <v>2253.5700000000002</v>
      </c>
      <c r="E21" s="5"/>
      <c r="F21" s="5">
        <v>2253.5700000000002</v>
      </c>
      <c r="G21" s="4" t="s">
        <v>139</v>
      </c>
      <c r="H21" s="5"/>
      <c r="I21" s="5">
        <f>F21</f>
        <v>2253.5700000000002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6">
        <f t="shared" si="4"/>
        <v>2253.5700000000002</v>
      </c>
      <c r="V21" s="6" t="str">
        <f t="shared" si="5"/>
        <v>OK</v>
      </c>
    </row>
    <row r="22" spans="1:22" s="57" customFormat="1" x14ac:dyDescent="0.25">
      <c r="C22" s="59"/>
      <c r="D22" s="58"/>
      <c r="E22" s="58"/>
      <c r="F22" s="58"/>
      <c r="G22" s="59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2" s="6" customFormat="1" ht="63" x14ac:dyDescent="0.25">
      <c r="A23" s="6">
        <v>937</v>
      </c>
      <c r="B23" s="6">
        <v>2017</v>
      </c>
      <c r="C23" s="4" t="s">
        <v>19</v>
      </c>
      <c r="D23" s="5">
        <v>11760</v>
      </c>
      <c r="E23" s="5"/>
      <c r="F23" s="5">
        <v>11760</v>
      </c>
      <c r="G23" s="4" t="s">
        <v>137</v>
      </c>
      <c r="H23" s="5"/>
      <c r="I23" s="5">
        <v>2160</v>
      </c>
      <c r="J23" s="5"/>
      <c r="K23" s="5"/>
      <c r="L23" s="5"/>
      <c r="M23" s="5"/>
      <c r="N23" s="5"/>
      <c r="O23" s="5">
        <f>9600/6</f>
        <v>1600</v>
      </c>
      <c r="P23" s="5">
        <f t="shared" ref="P23:T23" si="6">9600/6</f>
        <v>1600</v>
      </c>
      <c r="Q23" s="5">
        <f t="shared" si="6"/>
        <v>1600</v>
      </c>
      <c r="R23" s="5">
        <f t="shared" si="6"/>
        <v>1600</v>
      </c>
      <c r="S23" s="5">
        <f t="shared" si="6"/>
        <v>1600</v>
      </c>
      <c r="T23" s="5">
        <f t="shared" si="6"/>
        <v>1600</v>
      </c>
      <c r="U23" s="56">
        <f>SUM(I23:T23)</f>
        <v>11760</v>
      </c>
      <c r="V23" s="6" t="str">
        <f>IF(U23=F23,"OK", "ALLERT")</f>
        <v>OK</v>
      </c>
    </row>
    <row r="24" spans="1:22" s="6" customFormat="1" ht="31.5" x14ac:dyDescent="0.25">
      <c r="A24" s="6">
        <v>1633</v>
      </c>
      <c r="B24" s="6">
        <v>2017</v>
      </c>
      <c r="C24" s="4" t="s">
        <v>127</v>
      </c>
      <c r="D24" s="5">
        <v>2245.5500000000002</v>
      </c>
      <c r="E24" s="5"/>
      <c r="F24" s="5">
        <v>2245.5500000000002</v>
      </c>
      <c r="G24" s="4" t="s">
        <v>140</v>
      </c>
      <c r="H24" s="5"/>
      <c r="I24" s="5">
        <f>F24</f>
        <v>2245.5500000000002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6">
        <f>SUM(I24:T24)</f>
        <v>2245.5500000000002</v>
      </c>
      <c r="V24" s="6" t="str">
        <f>IF(U24=F24,"OK", "ALLERT")</f>
        <v>OK</v>
      </c>
    </row>
    <row r="25" spans="1:22" s="6" customFormat="1" ht="31.5" x14ac:dyDescent="0.25">
      <c r="A25" s="6">
        <v>1874</v>
      </c>
      <c r="B25" s="6">
        <v>2017</v>
      </c>
      <c r="C25" s="4" t="s">
        <v>6</v>
      </c>
      <c r="D25" s="5">
        <v>18906</v>
      </c>
      <c r="E25" s="5"/>
      <c r="F25" s="5">
        <f>D25+E25</f>
        <v>18906</v>
      </c>
      <c r="G25" s="4" t="s">
        <v>126</v>
      </c>
      <c r="H25" s="5">
        <f>F25/16</f>
        <v>1181.625</v>
      </c>
      <c r="I25" s="5"/>
      <c r="J25" s="5"/>
      <c r="K25" s="5"/>
      <c r="L25" s="5"/>
      <c r="M25" s="5"/>
      <c r="N25" s="5"/>
      <c r="O25" s="5">
        <f>$H$25*4</f>
        <v>4726.5</v>
      </c>
      <c r="P25" s="5">
        <f>$H$25*3</f>
        <v>3544.875</v>
      </c>
      <c r="Q25" s="5">
        <f>$H$25*4</f>
        <v>4726.5</v>
      </c>
      <c r="R25" s="5">
        <f>$H$25*2</f>
        <v>2363.25</v>
      </c>
      <c r="S25" s="5">
        <f>$H$25*1</f>
        <v>1181.625</v>
      </c>
      <c r="T25" s="5">
        <f>$H$25*2</f>
        <v>2363.25</v>
      </c>
      <c r="U25" s="56">
        <f>SUM(I25:T25)</f>
        <v>18906</v>
      </c>
      <c r="V25" s="6" t="str">
        <f>IF(U25=F25,"OK", "ALLERT")</f>
        <v>OK</v>
      </c>
    </row>
    <row r="26" spans="1:22" s="57" customFormat="1" x14ac:dyDescent="0.25">
      <c r="C26" s="59"/>
      <c r="D26" s="58"/>
      <c r="E26" s="58"/>
      <c r="F26" s="58"/>
      <c r="G26" s="59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1:22" s="26" customFormat="1" x14ac:dyDescent="0.25">
      <c r="A27" s="26">
        <v>4607</v>
      </c>
      <c r="B27" s="26">
        <v>2016</v>
      </c>
      <c r="C27" s="28" t="s">
        <v>58</v>
      </c>
      <c r="D27" s="27">
        <v>990</v>
      </c>
      <c r="E27" s="27">
        <f>D27*22%</f>
        <v>217.8</v>
      </c>
      <c r="F27" s="27">
        <f>D27+E27</f>
        <v>1207.8</v>
      </c>
      <c r="G27" s="28" t="s">
        <v>61</v>
      </c>
      <c r="H27" s="27"/>
      <c r="I27" s="27">
        <f>F27</f>
        <v>1207.8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56">
        <f t="shared" si="4"/>
        <v>1207.8</v>
      </c>
      <c r="V27" s="6" t="str">
        <f t="shared" si="5"/>
        <v>OK</v>
      </c>
    </row>
    <row r="28" spans="1:22" s="26" customFormat="1" x14ac:dyDescent="0.25">
      <c r="C28" s="28"/>
    </row>
    <row r="29" spans="1:22" s="26" customFormat="1" ht="31.5" x14ac:dyDescent="0.25">
      <c r="A29" s="26">
        <v>3431</v>
      </c>
      <c r="B29" s="26">
        <v>2017</v>
      </c>
      <c r="C29" s="28" t="s">
        <v>123</v>
      </c>
      <c r="D29" s="27">
        <v>4918.03</v>
      </c>
      <c r="E29" s="27">
        <f>D29*22%</f>
        <v>1081.9666</v>
      </c>
      <c r="F29" s="27">
        <f>D29+E29</f>
        <v>5999.9965999999995</v>
      </c>
      <c r="G29" s="28" t="s">
        <v>124</v>
      </c>
      <c r="H29" s="27"/>
      <c r="I29" s="27">
        <f>F29</f>
        <v>5999.9965999999995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56">
        <f t="shared" si="4"/>
        <v>5999.9965999999995</v>
      </c>
      <c r="V29" s="6" t="str">
        <f t="shared" si="5"/>
        <v>OK</v>
      </c>
    </row>
    <row r="30" spans="1:22" s="26" customFormat="1" x14ac:dyDescent="0.25">
      <c r="C30" s="28"/>
      <c r="D30" s="27"/>
      <c r="E30" s="27"/>
      <c r="F30" s="27"/>
      <c r="G30" s="28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56">
        <f t="shared" si="4"/>
        <v>0</v>
      </c>
      <c r="V30" s="6" t="str">
        <f t="shared" si="5"/>
        <v>OK</v>
      </c>
    </row>
    <row r="31" spans="1:22" s="26" customFormat="1" x14ac:dyDescent="0.25">
      <c r="C31" s="28"/>
      <c r="D31" s="27"/>
      <c r="E31" s="27"/>
      <c r="F31" s="27"/>
      <c r="G31" s="28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56">
        <f t="shared" si="4"/>
        <v>0</v>
      </c>
      <c r="V31" s="6" t="str">
        <f t="shared" si="5"/>
        <v>OK</v>
      </c>
    </row>
    <row r="32" spans="1:22" s="12" customFormat="1" x14ac:dyDescent="0.25">
      <c r="A32" s="12">
        <v>3793</v>
      </c>
      <c r="B32" s="12">
        <v>2016</v>
      </c>
      <c r="C32" s="14" t="s">
        <v>41</v>
      </c>
      <c r="D32" s="13">
        <v>1518</v>
      </c>
      <c r="E32" s="13"/>
      <c r="F32" s="13">
        <v>1518</v>
      </c>
      <c r="G32" s="14" t="s">
        <v>34</v>
      </c>
      <c r="H32" s="13"/>
      <c r="I32" s="13"/>
      <c r="J32" s="13"/>
      <c r="K32" s="13"/>
      <c r="L32" s="13"/>
      <c r="M32" s="13"/>
      <c r="N32" s="13"/>
      <c r="O32" s="13"/>
      <c r="P32" s="13"/>
      <c r="Q32" s="13">
        <f t="shared" ref="Q32:Q39" si="7">F32</f>
        <v>1518</v>
      </c>
      <c r="R32" s="13"/>
      <c r="S32" s="13"/>
      <c r="T32" s="13"/>
      <c r="U32" s="56">
        <f t="shared" si="4"/>
        <v>1518</v>
      </c>
      <c r="V32" s="6" t="str">
        <f t="shared" si="5"/>
        <v>OK</v>
      </c>
    </row>
    <row r="33" spans="1:22" s="12" customFormat="1" x14ac:dyDescent="0.25">
      <c r="A33" s="12">
        <v>3793</v>
      </c>
      <c r="B33" s="12">
        <v>2016</v>
      </c>
      <c r="C33" s="14" t="s">
        <v>40</v>
      </c>
      <c r="D33" s="13">
        <v>1534</v>
      </c>
      <c r="E33" s="13"/>
      <c r="F33" s="13">
        <v>1534</v>
      </c>
      <c r="G33" s="14" t="s">
        <v>34</v>
      </c>
      <c r="H33" s="13"/>
      <c r="I33" s="13"/>
      <c r="J33" s="13"/>
      <c r="K33" s="13"/>
      <c r="L33" s="13"/>
      <c r="M33" s="13"/>
      <c r="N33" s="13"/>
      <c r="O33" s="13"/>
      <c r="P33" s="13"/>
      <c r="Q33" s="13">
        <f t="shared" si="7"/>
        <v>1534</v>
      </c>
      <c r="R33" s="13"/>
      <c r="S33" s="13"/>
      <c r="T33" s="13"/>
      <c r="U33" s="56">
        <f t="shared" si="4"/>
        <v>1534</v>
      </c>
      <c r="V33" s="6" t="str">
        <f t="shared" si="5"/>
        <v>OK</v>
      </c>
    </row>
    <row r="34" spans="1:22" s="12" customFormat="1" x14ac:dyDescent="0.25">
      <c r="A34" s="12">
        <v>4216</v>
      </c>
      <c r="B34" s="12">
        <v>2016</v>
      </c>
      <c r="C34" s="14" t="s">
        <v>40</v>
      </c>
      <c r="D34" s="13">
        <v>1050.5</v>
      </c>
      <c r="E34" s="13"/>
      <c r="F34" s="13">
        <v>1050.5</v>
      </c>
      <c r="G34" s="14" t="s">
        <v>34</v>
      </c>
      <c r="H34" s="13"/>
      <c r="I34" s="13"/>
      <c r="J34" s="13"/>
      <c r="K34" s="13"/>
      <c r="L34" s="13"/>
      <c r="M34" s="13"/>
      <c r="N34" s="13"/>
      <c r="O34" s="13"/>
      <c r="P34" s="13"/>
      <c r="Q34" s="13">
        <f t="shared" si="7"/>
        <v>1050.5</v>
      </c>
      <c r="R34" s="13"/>
      <c r="S34" s="13"/>
      <c r="T34" s="13"/>
      <c r="U34" s="56">
        <f t="shared" si="4"/>
        <v>1050.5</v>
      </c>
      <c r="V34" s="6" t="str">
        <f t="shared" si="5"/>
        <v>OK</v>
      </c>
    </row>
    <row r="35" spans="1:22" s="12" customFormat="1" x14ac:dyDescent="0.25">
      <c r="A35" s="12">
        <v>5014</v>
      </c>
      <c r="B35" s="12">
        <v>2016</v>
      </c>
      <c r="C35" s="14" t="s">
        <v>40</v>
      </c>
      <c r="D35" s="13">
        <v>0</v>
      </c>
      <c r="E35" s="13"/>
      <c r="F35" s="13">
        <v>0</v>
      </c>
      <c r="G35" s="14" t="s">
        <v>34</v>
      </c>
      <c r="H35" s="13"/>
      <c r="I35" s="13"/>
      <c r="J35" s="13"/>
      <c r="K35" s="13"/>
      <c r="L35" s="13"/>
      <c r="M35" s="13"/>
      <c r="N35" s="13"/>
      <c r="O35" s="13"/>
      <c r="P35" s="13"/>
      <c r="Q35" s="13">
        <f t="shared" si="7"/>
        <v>0</v>
      </c>
      <c r="R35" s="13"/>
      <c r="S35" s="13"/>
      <c r="T35" s="13"/>
      <c r="U35" s="56">
        <f t="shared" si="4"/>
        <v>0</v>
      </c>
      <c r="V35" s="6" t="str">
        <f t="shared" si="5"/>
        <v>OK</v>
      </c>
    </row>
    <row r="36" spans="1:22" s="12" customFormat="1" x14ac:dyDescent="0.25">
      <c r="A36" s="12">
        <v>5043</v>
      </c>
      <c r="B36" s="12">
        <v>2016</v>
      </c>
      <c r="C36" s="14" t="s">
        <v>41</v>
      </c>
      <c r="D36" s="13">
        <v>0</v>
      </c>
      <c r="E36" s="13"/>
      <c r="F36" s="13">
        <v>0</v>
      </c>
      <c r="G36" s="14" t="s">
        <v>34</v>
      </c>
      <c r="H36" s="13"/>
      <c r="I36" s="13"/>
      <c r="J36" s="13"/>
      <c r="K36" s="13"/>
      <c r="L36" s="13"/>
      <c r="M36" s="13"/>
      <c r="N36" s="13"/>
      <c r="O36" s="13"/>
      <c r="P36" s="13"/>
      <c r="Q36" s="13">
        <f t="shared" si="7"/>
        <v>0</v>
      </c>
      <c r="R36" s="13"/>
      <c r="S36" s="13"/>
      <c r="T36" s="13"/>
      <c r="U36" s="56">
        <f t="shared" si="4"/>
        <v>0</v>
      </c>
      <c r="V36" s="6" t="str">
        <f t="shared" si="5"/>
        <v>OK</v>
      </c>
    </row>
    <row r="37" spans="1:22" s="12" customFormat="1" x14ac:dyDescent="0.25">
      <c r="A37" s="12">
        <v>5054</v>
      </c>
      <c r="B37" s="12">
        <v>2016</v>
      </c>
      <c r="C37" s="14" t="s">
        <v>40</v>
      </c>
      <c r="D37" s="13">
        <v>0</v>
      </c>
      <c r="E37" s="13"/>
      <c r="F37" s="13">
        <v>0</v>
      </c>
      <c r="G37" s="14" t="s">
        <v>34</v>
      </c>
      <c r="H37" s="13"/>
      <c r="I37" s="13"/>
      <c r="J37" s="13"/>
      <c r="K37" s="13"/>
      <c r="L37" s="13"/>
      <c r="M37" s="13"/>
      <c r="N37" s="13"/>
      <c r="O37" s="13"/>
      <c r="P37" s="13"/>
      <c r="Q37" s="13">
        <f t="shared" si="7"/>
        <v>0</v>
      </c>
      <c r="R37" s="13"/>
      <c r="S37" s="13"/>
      <c r="T37" s="13"/>
      <c r="U37" s="56">
        <f t="shared" si="4"/>
        <v>0</v>
      </c>
      <c r="V37" s="6" t="str">
        <f t="shared" si="5"/>
        <v>OK</v>
      </c>
    </row>
    <row r="38" spans="1:22" s="12" customFormat="1" ht="17.25" customHeight="1" x14ac:dyDescent="0.25">
      <c r="A38" s="12">
        <v>1830</v>
      </c>
      <c r="B38" s="12">
        <v>2017</v>
      </c>
      <c r="C38" s="14" t="s">
        <v>40</v>
      </c>
      <c r="D38" s="13">
        <v>2021</v>
      </c>
      <c r="E38" s="52"/>
      <c r="F38" s="13">
        <v>2021</v>
      </c>
      <c r="G38" s="14" t="s">
        <v>34</v>
      </c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si="7"/>
        <v>2021</v>
      </c>
      <c r="R38" s="13"/>
      <c r="S38" s="13"/>
      <c r="T38" s="13"/>
      <c r="U38" s="56">
        <f t="shared" si="4"/>
        <v>2021</v>
      </c>
      <c r="V38" s="6" t="str">
        <f t="shared" si="5"/>
        <v>OK</v>
      </c>
    </row>
    <row r="39" spans="1:22" s="12" customFormat="1" ht="17.25" customHeight="1" x14ac:dyDescent="0.25">
      <c r="A39" s="12">
        <v>1830</v>
      </c>
      <c r="B39" s="12">
        <v>2017</v>
      </c>
      <c r="C39" s="14" t="s">
        <v>41</v>
      </c>
      <c r="D39" s="13">
        <v>2013</v>
      </c>
      <c r="E39" s="52"/>
      <c r="F39" s="13">
        <v>2013</v>
      </c>
      <c r="G39" s="14" t="s">
        <v>34</v>
      </c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si="7"/>
        <v>2013</v>
      </c>
      <c r="R39" s="13"/>
      <c r="S39" s="13"/>
      <c r="T39" s="13"/>
      <c r="U39" s="56">
        <f t="shared" si="4"/>
        <v>2013</v>
      </c>
      <c r="V39" s="6" t="str">
        <f t="shared" si="5"/>
        <v>OK</v>
      </c>
    </row>
    <row r="40" spans="1:22" s="12" customFormat="1" x14ac:dyDescent="0.25">
      <c r="A40" s="12">
        <v>2478</v>
      </c>
      <c r="B40" s="12">
        <v>2017</v>
      </c>
      <c r="C40" s="14" t="s">
        <v>42</v>
      </c>
      <c r="D40" s="13">
        <v>660.01</v>
      </c>
      <c r="E40" s="13"/>
      <c r="F40" s="13">
        <v>660.01</v>
      </c>
      <c r="G40" s="14" t="s">
        <v>43</v>
      </c>
      <c r="H40" s="13"/>
      <c r="I40" s="13"/>
      <c r="J40" s="13"/>
      <c r="K40" s="13"/>
      <c r="L40" s="13"/>
      <c r="M40" s="13"/>
      <c r="N40" s="13"/>
      <c r="O40" s="13"/>
      <c r="P40" s="13">
        <f>660.01</f>
        <v>660.01</v>
      </c>
      <c r="Q40" s="13"/>
      <c r="R40" s="13"/>
      <c r="S40" s="13"/>
      <c r="T40" s="13"/>
      <c r="U40" s="56">
        <f t="shared" si="4"/>
        <v>660.01</v>
      </c>
      <c r="V40" s="6" t="str">
        <f t="shared" si="5"/>
        <v>OK</v>
      </c>
    </row>
    <row r="41" spans="1:22" s="12" customFormat="1" x14ac:dyDescent="0.25">
      <c r="A41" s="12">
        <v>2478</v>
      </c>
      <c r="B41" s="12">
        <v>2017</v>
      </c>
      <c r="C41" s="14" t="s">
        <v>44</v>
      </c>
      <c r="D41" s="13">
        <v>594</v>
      </c>
      <c r="E41" s="13"/>
      <c r="F41" s="13">
        <v>594</v>
      </c>
      <c r="G41" s="14" t="s">
        <v>48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>
        <f>594</f>
        <v>594</v>
      </c>
      <c r="T41" s="13"/>
      <c r="U41" s="56">
        <f t="shared" si="4"/>
        <v>594</v>
      </c>
      <c r="V41" s="6" t="str">
        <f t="shared" si="5"/>
        <v>OK</v>
      </c>
    </row>
    <row r="42" spans="1:22" s="12" customFormat="1" x14ac:dyDescent="0.25">
      <c r="A42" s="12">
        <v>2478</v>
      </c>
      <c r="B42" s="12">
        <v>2017</v>
      </c>
      <c r="C42" s="14" t="s">
        <v>45</v>
      </c>
      <c r="D42" s="13">
        <v>594</v>
      </c>
      <c r="E42" s="13"/>
      <c r="F42" s="13">
        <v>594</v>
      </c>
      <c r="G42" s="14" t="s">
        <v>49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f>594</f>
        <v>594</v>
      </c>
      <c r="U42" s="56">
        <f t="shared" si="4"/>
        <v>594</v>
      </c>
      <c r="V42" s="6" t="str">
        <f t="shared" si="5"/>
        <v>OK</v>
      </c>
    </row>
    <row r="43" spans="1:22" s="12" customFormat="1" x14ac:dyDescent="0.25">
      <c r="A43" s="12">
        <v>2478</v>
      </c>
      <c r="B43" s="12">
        <v>2017</v>
      </c>
      <c r="C43" s="14" t="s">
        <v>46</v>
      </c>
      <c r="D43" s="13">
        <v>660</v>
      </c>
      <c r="E43" s="13"/>
      <c r="F43" s="13">
        <v>660</v>
      </c>
      <c r="G43" s="14" t="s">
        <v>50</v>
      </c>
      <c r="H43" s="13"/>
      <c r="I43" s="13"/>
      <c r="J43" s="13"/>
      <c r="K43" s="13"/>
      <c r="L43" s="13"/>
      <c r="M43" s="13"/>
      <c r="N43" s="13"/>
      <c r="O43" s="13">
        <v>660</v>
      </c>
      <c r="P43" s="13"/>
      <c r="Q43" s="13"/>
      <c r="R43" s="13"/>
      <c r="S43" s="13"/>
      <c r="T43" s="13"/>
      <c r="U43" s="56">
        <f t="shared" si="4"/>
        <v>660</v>
      </c>
      <c r="V43" s="6" t="str">
        <f t="shared" si="5"/>
        <v>OK</v>
      </c>
    </row>
    <row r="44" spans="1:22" s="12" customFormat="1" ht="31.5" x14ac:dyDescent="0.25">
      <c r="A44" s="12">
        <v>2478</v>
      </c>
      <c r="B44" s="12">
        <v>2017</v>
      </c>
      <c r="C44" s="14" t="s">
        <v>47</v>
      </c>
      <c r="D44" s="13">
        <v>1386</v>
      </c>
      <c r="E44" s="13"/>
      <c r="F44" s="13">
        <v>1386</v>
      </c>
      <c r="G44" s="14" t="s">
        <v>50</v>
      </c>
      <c r="H44" s="13"/>
      <c r="I44" s="13"/>
      <c r="J44" s="13"/>
      <c r="K44" s="13"/>
      <c r="L44" s="13"/>
      <c r="M44" s="13"/>
      <c r="N44" s="13"/>
      <c r="O44" s="13">
        <v>1386</v>
      </c>
      <c r="P44" s="13"/>
      <c r="Q44" s="13"/>
      <c r="R44" s="13"/>
      <c r="S44" s="13"/>
      <c r="T44" s="13"/>
      <c r="U44" s="56">
        <f t="shared" si="4"/>
        <v>1386</v>
      </c>
      <c r="V44" s="6" t="str">
        <f t="shared" si="5"/>
        <v>OK</v>
      </c>
    </row>
    <row r="45" spans="1:22" s="29" customFormat="1" x14ac:dyDescent="0.25">
      <c r="A45" s="29">
        <v>4617</v>
      </c>
      <c r="B45" s="29">
        <v>2016</v>
      </c>
      <c r="C45" s="31" t="s">
        <v>60</v>
      </c>
      <c r="D45" s="30">
        <v>5865.69</v>
      </c>
      <c r="E45" s="30"/>
      <c r="F45" s="30">
        <v>5865.69</v>
      </c>
      <c r="G45" s="31" t="s">
        <v>59</v>
      </c>
      <c r="H45" s="30"/>
      <c r="I45" s="30">
        <f t="shared" ref="I45:I56" si="8">F45</f>
        <v>5865.69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56">
        <f t="shared" si="4"/>
        <v>5865.69</v>
      </c>
      <c r="V45" s="6" t="str">
        <f t="shared" si="5"/>
        <v>OK</v>
      </c>
    </row>
    <row r="46" spans="1:22" s="29" customFormat="1" x14ac:dyDescent="0.25">
      <c r="A46" s="29">
        <v>4978</v>
      </c>
      <c r="B46" s="29">
        <v>2016</v>
      </c>
      <c r="C46" s="31" t="s">
        <v>60</v>
      </c>
      <c r="D46" s="30">
        <v>5865.69</v>
      </c>
      <c r="E46" s="30"/>
      <c r="F46" s="30">
        <v>5865.69</v>
      </c>
      <c r="G46" s="31" t="s">
        <v>59</v>
      </c>
      <c r="H46" s="30"/>
      <c r="I46" s="30">
        <f t="shared" si="8"/>
        <v>5865.69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56">
        <f t="shared" si="4"/>
        <v>5865.69</v>
      </c>
      <c r="V46" s="6" t="str">
        <f t="shared" si="5"/>
        <v>OK</v>
      </c>
    </row>
    <row r="47" spans="1:22" s="29" customFormat="1" x14ac:dyDescent="0.25">
      <c r="A47" s="29">
        <v>5616</v>
      </c>
      <c r="B47" s="29">
        <v>2016</v>
      </c>
      <c r="C47" s="31" t="s">
        <v>60</v>
      </c>
      <c r="D47" s="30">
        <v>6599.99</v>
      </c>
      <c r="E47" s="30"/>
      <c r="F47" s="30">
        <v>6599.99</v>
      </c>
      <c r="G47" s="31" t="s">
        <v>59</v>
      </c>
      <c r="H47" s="30"/>
      <c r="I47" s="30">
        <f t="shared" si="8"/>
        <v>6599.99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56">
        <f t="shared" si="4"/>
        <v>6599.99</v>
      </c>
      <c r="V47" s="6" t="str">
        <f t="shared" si="5"/>
        <v>OK</v>
      </c>
    </row>
    <row r="48" spans="1:22" s="29" customFormat="1" x14ac:dyDescent="0.25">
      <c r="A48" s="29">
        <v>6319</v>
      </c>
      <c r="B48" s="29">
        <v>2016</v>
      </c>
      <c r="C48" s="31" t="s">
        <v>60</v>
      </c>
      <c r="D48" s="30">
        <v>5865.69</v>
      </c>
      <c r="E48" s="30"/>
      <c r="F48" s="30">
        <v>5865.69</v>
      </c>
      <c r="G48" s="31" t="s">
        <v>59</v>
      </c>
      <c r="H48" s="30"/>
      <c r="I48" s="30">
        <f t="shared" si="8"/>
        <v>5865.69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56">
        <f t="shared" si="4"/>
        <v>5865.69</v>
      </c>
      <c r="V48" s="6" t="str">
        <f t="shared" si="5"/>
        <v>OK</v>
      </c>
    </row>
    <row r="49" spans="1:22" s="29" customFormat="1" x14ac:dyDescent="0.25">
      <c r="A49" s="29">
        <v>6970</v>
      </c>
      <c r="B49" s="29">
        <v>2016</v>
      </c>
      <c r="C49" s="31" t="s">
        <v>60</v>
      </c>
      <c r="D49" s="30">
        <v>5865.69</v>
      </c>
      <c r="E49" s="30"/>
      <c r="F49" s="30">
        <v>5865.69</v>
      </c>
      <c r="G49" s="31" t="s">
        <v>59</v>
      </c>
      <c r="H49" s="30"/>
      <c r="I49" s="30">
        <f t="shared" si="8"/>
        <v>5865.69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56">
        <f t="shared" si="4"/>
        <v>5865.69</v>
      </c>
      <c r="V49" s="6" t="str">
        <f t="shared" si="5"/>
        <v>OK</v>
      </c>
    </row>
    <row r="50" spans="1:22" s="29" customFormat="1" x14ac:dyDescent="0.25">
      <c r="A50" s="29">
        <v>7168</v>
      </c>
      <c r="B50" s="29">
        <v>2016</v>
      </c>
      <c r="C50" s="31" t="s">
        <v>60</v>
      </c>
      <c r="D50" s="30">
        <v>5865.69</v>
      </c>
      <c r="E50" s="30"/>
      <c r="F50" s="30">
        <v>5865.69</v>
      </c>
      <c r="G50" s="31" t="s">
        <v>59</v>
      </c>
      <c r="H50" s="30"/>
      <c r="I50" s="30">
        <f t="shared" si="8"/>
        <v>5865.69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56">
        <f t="shared" si="4"/>
        <v>5865.69</v>
      </c>
      <c r="V50" s="6" t="str">
        <f t="shared" si="5"/>
        <v>OK</v>
      </c>
    </row>
    <row r="51" spans="1:22" s="29" customFormat="1" x14ac:dyDescent="0.25">
      <c r="A51" s="29">
        <v>686</v>
      </c>
      <c r="B51" s="29">
        <v>2017</v>
      </c>
      <c r="C51" s="31" t="s">
        <v>60</v>
      </c>
      <c r="D51" s="30">
        <v>5897.97</v>
      </c>
      <c r="E51" s="30"/>
      <c r="F51" s="30">
        <v>5897.97</v>
      </c>
      <c r="G51" s="31" t="s">
        <v>59</v>
      </c>
      <c r="H51" s="30"/>
      <c r="I51" s="30">
        <f t="shared" si="8"/>
        <v>5897.97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56">
        <f t="shared" si="4"/>
        <v>5897.97</v>
      </c>
      <c r="V51" s="6" t="str">
        <f t="shared" si="5"/>
        <v>OK</v>
      </c>
    </row>
    <row r="52" spans="1:22" s="29" customFormat="1" x14ac:dyDescent="0.25">
      <c r="A52" s="29">
        <v>524</v>
      </c>
      <c r="B52" s="29">
        <v>2017</v>
      </c>
      <c r="C52" s="31" t="s">
        <v>60</v>
      </c>
      <c r="D52" s="30">
        <v>5897.97</v>
      </c>
      <c r="E52" s="30"/>
      <c r="F52" s="30">
        <v>5897.97</v>
      </c>
      <c r="G52" s="31" t="s">
        <v>59</v>
      </c>
      <c r="H52" s="30"/>
      <c r="I52" s="30">
        <f t="shared" si="8"/>
        <v>5897.97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56">
        <f t="shared" si="4"/>
        <v>5897.97</v>
      </c>
      <c r="V52" s="6" t="str">
        <f t="shared" si="5"/>
        <v>OK</v>
      </c>
    </row>
    <row r="53" spans="1:22" s="29" customFormat="1" x14ac:dyDescent="0.25">
      <c r="A53" s="29">
        <v>1075</v>
      </c>
      <c r="B53" s="29">
        <v>2017</v>
      </c>
      <c r="C53" s="31" t="s">
        <v>60</v>
      </c>
      <c r="D53" s="30">
        <v>5897.97</v>
      </c>
      <c r="E53" s="30"/>
      <c r="F53" s="30">
        <v>5897.97</v>
      </c>
      <c r="G53" s="31" t="s">
        <v>59</v>
      </c>
      <c r="H53" s="30"/>
      <c r="I53" s="30">
        <f t="shared" si="8"/>
        <v>5897.97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56">
        <f t="shared" si="4"/>
        <v>5897.97</v>
      </c>
      <c r="V53" s="6" t="str">
        <f t="shared" si="5"/>
        <v>OK</v>
      </c>
    </row>
    <row r="54" spans="1:22" s="29" customFormat="1" x14ac:dyDescent="0.25">
      <c r="A54" s="29">
        <v>1537</v>
      </c>
      <c r="B54" s="29">
        <v>2017</v>
      </c>
      <c r="C54" s="31" t="s">
        <v>60</v>
      </c>
      <c r="D54" s="30">
        <v>5897.97</v>
      </c>
      <c r="E54" s="30"/>
      <c r="F54" s="30">
        <v>5897.97</v>
      </c>
      <c r="G54" s="31" t="s">
        <v>59</v>
      </c>
      <c r="H54" s="30"/>
      <c r="I54" s="30">
        <f t="shared" si="8"/>
        <v>5897.97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56">
        <f t="shared" si="4"/>
        <v>5897.97</v>
      </c>
      <c r="V54" s="6" t="str">
        <f t="shared" si="5"/>
        <v>OK</v>
      </c>
    </row>
    <row r="55" spans="1:22" s="29" customFormat="1" x14ac:dyDescent="0.25">
      <c r="A55" s="29">
        <v>1929</v>
      </c>
      <c r="B55" s="29">
        <v>2017</v>
      </c>
      <c r="C55" s="31" t="s">
        <v>60</v>
      </c>
      <c r="D55" s="30">
        <v>5897.97</v>
      </c>
      <c r="E55" s="30"/>
      <c r="F55" s="30">
        <v>5897.97</v>
      </c>
      <c r="G55" s="31" t="s">
        <v>59</v>
      </c>
      <c r="H55" s="30"/>
      <c r="I55" s="30">
        <f t="shared" si="8"/>
        <v>5897.97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56">
        <f t="shared" si="4"/>
        <v>5897.97</v>
      </c>
      <c r="V55" s="6" t="str">
        <f t="shared" si="5"/>
        <v>OK</v>
      </c>
    </row>
    <row r="56" spans="1:22" s="29" customFormat="1" x14ac:dyDescent="0.25">
      <c r="A56" s="29">
        <v>2601</v>
      </c>
      <c r="B56" s="29">
        <v>2017</v>
      </c>
      <c r="C56" s="31" t="s">
        <v>60</v>
      </c>
      <c r="D56" s="30">
        <v>5914.32</v>
      </c>
      <c r="E56" s="30"/>
      <c r="F56" s="30">
        <v>5914.32</v>
      </c>
      <c r="G56" s="31" t="s">
        <v>59</v>
      </c>
      <c r="H56" s="30"/>
      <c r="I56" s="30">
        <f t="shared" si="8"/>
        <v>5914.32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56">
        <f t="shared" si="4"/>
        <v>5914.32</v>
      </c>
      <c r="V56" s="6" t="str">
        <f t="shared" si="5"/>
        <v>OK</v>
      </c>
    </row>
    <row r="57" spans="1:22" s="29" customFormat="1" x14ac:dyDescent="0.25">
      <c r="B57" s="29">
        <v>2017</v>
      </c>
      <c r="C57" s="31" t="s">
        <v>117</v>
      </c>
      <c r="D57" s="30">
        <v>7275</v>
      </c>
      <c r="E57" s="30"/>
      <c r="F57" s="30">
        <v>7275</v>
      </c>
      <c r="G57" s="31" t="s">
        <v>118</v>
      </c>
      <c r="H57" s="30"/>
      <c r="I57" s="30"/>
      <c r="J57" s="30"/>
      <c r="K57" s="30"/>
      <c r="L57" s="30">
        <f>F57</f>
        <v>7275</v>
      </c>
      <c r="M57" s="30"/>
      <c r="N57" s="30"/>
      <c r="O57" s="30"/>
      <c r="P57" s="30"/>
      <c r="Q57" s="30"/>
      <c r="R57" s="30"/>
      <c r="S57" s="30"/>
      <c r="T57" s="30"/>
      <c r="U57" s="56">
        <f t="shared" si="4"/>
        <v>7275</v>
      </c>
      <c r="V57" s="6" t="str">
        <f t="shared" si="5"/>
        <v>OK</v>
      </c>
    </row>
    <row r="58" spans="1:22" x14ac:dyDescent="0.25">
      <c r="U58" s="56"/>
      <c r="V58" s="6"/>
    </row>
    <row r="59" spans="1:22" x14ac:dyDescent="0.25">
      <c r="A59" s="23" t="s">
        <v>2</v>
      </c>
      <c r="B59" s="23" t="s">
        <v>20</v>
      </c>
      <c r="C59" s="24" t="s">
        <v>9</v>
      </c>
      <c r="D59" s="21" t="s">
        <v>8</v>
      </c>
      <c r="E59" s="54"/>
      <c r="F59" s="21" t="s">
        <v>8</v>
      </c>
      <c r="G59" s="24" t="s">
        <v>3</v>
      </c>
      <c r="U59" s="56"/>
      <c r="V59" s="6"/>
    </row>
    <row r="60" spans="1:22" s="19" customFormat="1" ht="110.25" x14ac:dyDescent="0.25">
      <c r="A60" s="18" t="s">
        <v>7</v>
      </c>
      <c r="B60" s="19">
        <v>2017</v>
      </c>
      <c r="C60" s="60" t="s">
        <v>36</v>
      </c>
      <c r="D60" s="20">
        <v>191159.85</v>
      </c>
      <c r="E60" s="20"/>
      <c r="F60" s="20">
        <v>191159.85</v>
      </c>
      <c r="G60" s="19" t="s">
        <v>36</v>
      </c>
      <c r="H60" s="20"/>
      <c r="I60" s="20"/>
      <c r="J60" s="20"/>
      <c r="K60" s="20"/>
      <c r="L60" s="20"/>
      <c r="M60" s="20"/>
      <c r="N60" s="20"/>
      <c r="O60" s="20">
        <f>F60/4</f>
        <v>47789.962500000001</v>
      </c>
      <c r="P60" s="20">
        <f>F60/4</f>
        <v>47789.962500000001</v>
      </c>
      <c r="Q60" s="20">
        <f>F60/4</f>
        <v>47789.962500000001</v>
      </c>
      <c r="R60" s="20">
        <f>F60/4</f>
        <v>47789.962500000001</v>
      </c>
      <c r="S60" s="20"/>
      <c r="T60" s="20"/>
      <c r="U60" s="56">
        <f t="shared" si="4"/>
        <v>191159.85</v>
      </c>
      <c r="V60" s="6" t="str">
        <f t="shared" si="5"/>
        <v>OK</v>
      </c>
    </row>
    <row r="61" spans="1:22" s="19" customFormat="1" ht="78" customHeight="1" x14ac:dyDescent="0.25">
      <c r="A61" s="18" t="s">
        <v>64</v>
      </c>
      <c r="B61" s="19">
        <v>2017</v>
      </c>
      <c r="C61" s="60" t="s">
        <v>62</v>
      </c>
      <c r="D61" s="20">
        <v>6000</v>
      </c>
      <c r="E61" s="20"/>
      <c r="F61" s="20">
        <v>6000</v>
      </c>
      <c r="G61" s="19" t="s">
        <v>63</v>
      </c>
      <c r="H61" s="20"/>
      <c r="I61" s="20">
        <f>F61</f>
        <v>6000</v>
      </c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56">
        <f t="shared" si="4"/>
        <v>6000</v>
      </c>
      <c r="V61" s="6" t="str">
        <f t="shared" si="5"/>
        <v>OK</v>
      </c>
    </row>
    <row r="63" spans="1:22" x14ac:dyDescent="0.25">
      <c r="A63" s="23" t="s">
        <v>37</v>
      </c>
      <c r="I63" s="2">
        <f t="shared" ref="I63:T63" si="9">SUM(I2:I62)</f>
        <v>99885.098028571432</v>
      </c>
      <c r="J63" s="2">
        <f t="shared" si="9"/>
        <v>18893.82</v>
      </c>
      <c r="K63" s="2">
        <f t="shared" si="9"/>
        <v>10532.9</v>
      </c>
      <c r="L63" s="2">
        <f t="shared" si="9"/>
        <v>16691.949999999997</v>
      </c>
      <c r="M63" s="2">
        <f t="shared" si="9"/>
        <v>9855.7799999999988</v>
      </c>
      <c r="N63" s="2">
        <f t="shared" si="9"/>
        <v>13291.58</v>
      </c>
      <c r="O63" s="2">
        <f t="shared" si="9"/>
        <v>61331.652928571428</v>
      </c>
      <c r="P63" s="2">
        <f t="shared" si="9"/>
        <v>56359.451928571434</v>
      </c>
      <c r="Q63" s="2">
        <f t="shared" si="9"/>
        <v>68103.85992857143</v>
      </c>
      <c r="R63" s="2">
        <f t="shared" si="9"/>
        <v>55780.10992857143</v>
      </c>
      <c r="S63" s="2">
        <f t="shared" si="9"/>
        <v>7342.5224285714285</v>
      </c>
      <c r="T63" s="2">
        <f t="shared" si="9"/>
        <v>8524.1474285714285</v>
      </c>
    </row>
    <row r="64" spans="1:22" x14ac:dyDescent="0.25">
      <c r="A64" s="23" t="s">
        <v>38</v>
      </c>
      <c r="I64" s="2">
        <v>124921</v>
      </c>
      <c r="J64" s="2">
        <v>80366</v>
      </c>
      <c r="K64" s="2">
        <v>44471</v>
      </c>
      <c r="L64" s="2">
        <v>39680</v>
      </c>
      <c r="M64" s="2">
        <v>41564</v>
      </c>
      <c r="N64" s="2">
        <v>53405</v>
      </c>
      <c r="O64" s="2">
        <v>75925</v>
      </c>
      <c r="P64" s="2">
        <v>83720</v>
      </c>
      <c r="Q64" s="2">
        <v>77660</v>
      </c>
      <c r="R64" s="2">
        <v>81300</v>
      </c>
      <c r="S64" s="2">
        <v>21065</v>
      </c>
      <c r="T64" s="2">
        <v>20269</v>
      </c>
    </row>
    <row r="65" spans="1:20" x14ac:dyDescent="0.25">
      <c r="A65" s="23" t="s">
        <v>39</v>
      </c>
      <c r="J65" s="2">
        <f t="shared" ref="J65:T65" si="10">J64-J63</f>
        <v>61472.18</v>
      </c>
      <c r="K65" s="2">
        <f t="shared" si="10"/>
        <v>33938.1</v>
      </c>
      <c r="L65" s="2">
        <f t="shared" si="10"/>
        <v>22988.050000000003</v>
      </c>
      <c r="M65" s="2">
        <f t="shared" si="10"/>
        <v>31708.22</v>
      </c>
      <c r="N65" s="2">
        <f t="shared" si="10"/>
        <v>40113.42</v>
      </c>
      <c r="O65" s="2">
        <f t="shared" si="10"/>
        <v>14593.347071428572</v>
      </c>
      <c r="P65" s="2">
        <f t="shared" si="10"/>
        <v>27360.548071428566</v>
      </c>
      <c r="Q65" s="25">
        <f t="shared" si="10"/>
        <v>9556.1400714285701</v>
      </c>
      <c r="R65" s="22">
        <f t="shared" si="10"/>
        <v>25519.89007142857</v>
      </c>
      <c r="S65" s="2">
        <f t="shared" si="10"/>
        <v>13722.477571428572</v>
      </c>
      <c r="T65" s="2">
        <f t="shared" si="10"/>
        <v>11744.852571428572</v>
      </c>
    </row>
  </sheetData>
  <pageMargins left="0.25" right="0.25" top="0.75" bottom="0.75" header="0.3" footer="0.3"/>
  <pageSetup paperSize="9" scale="69" fitToHeight="0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1"/>
  <sheetViews>
    <sheetView topLeftCell="A4" workbookViewId="0">
      <selection activeCell="B1" sqref="B1:AA1048576"/>
    </sheetView>
  </sheetViews>
  <sheetFormatPr defaultColWidth="13.625" defaultRowHeight="15.75" x14ac:dyDescent="0.25"/>
  <cols>
    <col min="1" max="1" width="10.5" style="34" customWidth="1"/>
    <col min="2" max="2" width="13.625" style="33"/>
    <col min="3" max="3" width="12.875" style="34" customWidth="1"/>
    <col min="4" max="5" width="6.625" style="34" customWidth="1"/>
    <col min="6" max="6" width="1" style="64" customWidth="1"/>
    <col min="7" max="7" width="13.625" style="34" customWidth="1"/>
    <col min="8" max="9" width="6.625" style="34" customWidth="1"/>
    <col min="10" max="10" width="1.125" style="64" customWidth="1"/>
    <col min="11" max="11" width="13.625" style="34" customWidth="1"/>
    <col min="12" max="13" width="6.625" style="34" customWidth="1"/>
    <col min="14" max="14" width="0.75" style="64" customWidth="1"/>
    <col min="15" max="15" width="13.625" style="34" customWidth="1"/>
    <col min="16" max="17" width="6.625" style="34" customWidth="1"/>
    <col min="18" max="18" width="0.875" style="64" customWidth="1"/>
    <col min="19" max="19" width="13.625" style="34" customWidth="1"/>
    <col min="20" max="21" width="6.625" style="34" customWidth="1"/>
    <col min="22" max="22" width="0.625" style="64" customWidth="1"/>
    <col min="23" max="23" width="13.625" style="34" customWidth="1"/>
    <col min="24" max="25" width="6.625" style="34" customWidth="1"/>
    <col min="26" max="26" width="0.875" style="64" customWidth="1"/>
    <col min="27" max="28" width="13.625" style="34"/>
    <col min="29" max="29" width="13.625" style="69"/>
    <col min="30" max="30" width="0.625" style="71" customWidth="1"/>
    <col min="31" max="33" width="13.625" style="34"/>
    <col min="34" max="34" width="0.75" style="64" customWidth="1"/>
    <col min="35" max="37" width="13.625" style="34"/>
    <col min="38" max="38" width="0.5" style="64" customWidth="1"/>
    <col min="39" max="41" width="13.625" style="34"/>
    <col min="42" max="42" width="0.5" style="64" customWidth="1"/>
    <col min="43" max="45" width="13.625" style="34"/>
    <col min="46" max="46" width="0.5" style="64" customWidth="1"/>
    <col min="47" max="16384" width="13.625" style="34"/>
  </cols>
  <sheetData>
    <row r="1" spans="1:49" ht="78.75" customHeight="1" x14ac:dyDescent="0.25">
      <c r="B1" s="61"/>
      <c r="C1" s="155" t="s">
        <v>84</v>
      </c>
      <c r="D1" s="156"/>
      <c r="E1" s="157"/>
      <c r="F1" s="140"/>
      <c r="G1" s="155" t="s">
        <v>85</v>
      </c>
      <c r="H1" s="156"/>
      <c r="I1" s="157"/>
      <c r="J1" s="140"/>
      <c r="K1" s="155" t="s">
        <v>86</v>
      </c>
      <c r="L1" s="156"/>
      <c r="M1" s="157"/>
      <c r="N1" s="140"/>
      <c r="O1" s="155" t="s">
        <v>87</v>
      </c>
      <c r="P1" s="156"/>
      <c r="Q1" s="157"/>
      <c r="R1" s="140"/>
      <c r="S1" s="155" t="s">
        <v>88</v>
      </c>
      <c r="T1" s="156"/>
      <c r="U1" s="157"/>
      <c r="V1" s="140"/>
      <c r="W1" s="155" t="s">
        <v>89</v>
      </c>
      <c r="X1" s="156"/>
      <c r="Y1" s="157"/>
      <c r="Z1" s="74"/>
      <c r="AA1" s="154" t="s">
        <v>90</v>
      </c>
      <c r="AB1" s="154"/>
      <c r="AC1" s="154"/>
      <c r="AD1" s="72"/>
      <c r="AE1" s="154" t="s">
        <v>91</v>
      </c>
      <c r="AF1" s="154"/>
      <c r="AG1" s="154"/>
      <c r="AH1" s="72"/>
      <c r="AI1" s="154" t="s">
        <v>92</v>
      </c>
      <c r="AJ1" s="154"/>
      <c r="AK1" s="154"/>
      <c r="AL1" s="72"/>
      <c r="AM1" s="154" t="s">
        <v>93</v>
      </c>
      <c r="AN1" s="154"/>
      <c r="AO1" s="154"/>
      <c r="AP1" s="72"/>
      <c r="AQ1" s="154" t="s">
        <v>94</v>
      </c>
      <c r="AR1" s="154"/>
      <c r="AS1" s="154"/>
      <c r="AT1" s="72"/>
      <c r="AU1" s="154" t="s">
        <v>95</v>
      </c>
      <c r="AV1" s="154"/>
      <c r="AW1" s="154"/>
    </row>
    <row r="2" spans="1:49" ht="47.25" x14ac:dyDescent="0.25">
      <c r="B2" s="61"/>
      <c r="C2" s="66" t="s">
        <v>111</v>
      </c>
      <c r="D2" s="47" t="s">
        <v>112</v>
      </c>
      <c r="E2" s="47" t="s">
        <v>113</v>
      </c>
      <c r="F2" s="140"/>
      <c r="G2" s="66" t="s">
        <v>111</v>
      </c>
      <c r="H2" s="47" t="s">
        <v>112</v>
      </c>
      <c r="I2" s="47" t="s">
        <v>113</v>
      </c>
      <c r="J2" s="140"/>
      <c r="K2" s="66" t="s">
        <v>111</v>
      </c>
      <c r="L2" s="47" t="s">
        <v>112</v>
      </c>
      <c r="M2" s="47" t="s">
        <v>113</v>
      </c>
      <c r="N2" s="140"/>
      <c r="O2" s="66" t="s">
        <v>111</v>
      </c>
      <c r="P2" s="47" t="s">
        <v>112</v>
      </c>
      <c r="Q2" s="47" t="s">
        <v>113</v>
      </c>
      <c r="R2" s="140"/>
      <c r="S2" s="66" t="s">
        <v>111</v>
      </c>
      <c r="T2" s="47" t="s">
        <v>112</v>
      </c>
      <c r="U2" s="47" t="s">
        <v>113</v>
      </c>
      <c r="V2" s="140"/>
      <c r="W2" s="66" t="s">
        <v>111</v>
      </c>
      <c r="X2" s="47" t="s">
        <v>112</v>
      </c>
      <c r="Y2" s="47" t="s">
        <v>113</v>
      </c>
      <c r="Z2" s="74"/>
      <c r="AA2" s="47" t="s">
        <v>111</v>
      </c>
      <c r="AB2" s="47" t="s">
        <v>112</v>
      </c>
      <c r="AC2" s="47" t="s">
        <v>113</v>
      </c>
      <c r="AD2" s="73"/>
      <c r="AE2" s="66" t="s">
        <v>111</v>
      </c>
      <c r="AF2" s="47" t="s">
        <v>112</v>
      </c>
      <c r="AG2" s="47" t="s">
        <v>113</v>
      </c>
      <c r="AH2" s="75"/>
      <c r="AI2" s="47" t="s">
        <v>111</v>
      </c>
      <c r="AJ2" s="47" t="s">
        <v>112</v>
      </c>
      <c r="AK2" s="47" t="s">
        <v>113</v>
      </c>
      <c r="AL2" s="75"/>
      <c r="AM2" s="47" t="s">
        <v>111</v>
      </c>
      <c r="AN2" s="47" t="s">
        <v>112</v>
      </c>
      <c r="AO2" s="47" t="s">
        <v>113</v>
      </c>
      <c r="AP2" s="75"/>
      <c r="AQ2" s="47" t="s">
        <v>111</v>
      </c>
      <c r="AR2" s="47" t="s">
        <v>112</v>
      </c>
      <c r="AS2" s="47" t="s">
        <v>113</v>
      </c>
      <c r="AT2" s="75"/>
      <c r="AU2" s="47" t="s">
        <v>111</v>
      </c>
      <c r="AV2" s="47" t="s">
        <v>112</v>
      </c>
      <c r="AW2" s="47" t="s">
        <v>113</v>
      </c>
    </row>
    <row r="3" spans="1:49" x14ac:dyDescent="0.25">
      <c r="A3" s="151" t="s">
        <v>97</v>
      </c>
      <c r="B3" s="62" t="s">
        <v>104</v>
      </c>
      <c r="C3" s="35">
        <v>0</v>
      </c>
      <c r="D3" s="35"/>
      <c r="E3" s="35"/>
      <c r="F3" s="76"/>
      <c r="G3" s="35">
        <v>550</v>
      </c>
      <c r="H3" s="35"/>
      <c r="I3" s="35"/>
      <c r="J3" s="76"/>
      <c r="K3" s="35">
        <v>550</v>
      </c>
      <c r="L3" s="35"/>
      <c r="M3" s="35"/>
      <c r="N3" s="76"/>
      <c r="O3" s="35">
        <v>550</v>
      </c>
      <c r="P3" s="35"/>
      <c r="Q3" s="35"/>
      <c r="R3" s="76"/>
      <c r="S3" s="35">
        <v>1060</v>
      </c>
      <c r="T3" s="35"/>
      <c r="U3" s="35"/>
      <c r="V3" s="76"/>
      <c r="W3" s="37">
        <v>720</v>
      </c>
      <c r="X3" s="37"/>
      <c r="Y3" s="37"/>
      <c r="Z3" s="141"/>
      <c r="AA3" s="35">
        <v>1640</v>
      </c>
      <c r="AB3" s="35">
        <f>'Payment Order-COAN'!O4</f>
        <v>2469.38</v>
      </c>
      <c r="AC3" s="36" t="s">
        <v>99</v>
      </c>
      <c r="AD3" s="74"/>
      <c r="AE3" s="67">
        <v>1640</v>
      </c>
      <c r="AF3" s="35">
        <f>'Payment Order-COAN'!P4</f>
        <v>823.12666666666667</v>
      </c>
      <c r="AG3" s="36" t="s">
        <v>99</v>
      </c>
      <c r="AH3" s="72"/>
      <c r="AI3" s="35">
        <v>1640</v>
      </c>
      <c r="AJ3" s="35">
        <f>'Payment Order-COAN'!Q4</f>
        <v>1646.2533333333333</v>
      </c>
      <c r="AK3" s="36" t="s">
        <v>99</v>
      </c>
      <c r="AL3" s="72"/>
      <c r="AM3" s="35">
        <v>1060</v>
      </c>
      <c r="AN3" s="35">
        <f>'Payment Order-COAN'!R4</f>
        <v>1646.2533333333333</v>
      </c>
      <c r="AO3" s="36" t="s">
        <v>99</v>
      </c>
      <c r="AP3" s="72"/>
      <c r="AQ3" s="35">
        <v>1640</v>
      </c>
      <c r="AR3" s="35">
        <f>'Payment Order-COAN'!S4</f>
        <v>1646.2533333333333</v>
      </c>
      <c r="AS3" s="36" t="s">
        <v>99</v>
      </c>
      <c r="AT3" s="72"/>
      <c r="AU3" s="37">
        <v>1640</v>
      </c>
      <c r="AV3" s="35">
        <f>'Payment Order-COAN'!T4</f>
        <v>1646.2533333333333</v>
      </c>
      <c r="AW3" s="36" t="s">
        <v>99</v>
      </c>
    </row>
    <row r="4" spans="1:49" ht="31.5" x14ac:dyDescent="0.25">
      <c r="A4" s="152"/>
      <c r="B4" s="62" t="s">
        <v>105</v>
      </c>
      <c r="C4" s="35">
        <v>0</v>
      </c>
      <c r="D4" s="35"/>
      <c r="E4" s="35"/>
      <c r="F4" s="76"/>
      <c r="G4" s="35">
        <v>720</v>
      </c>
      <c r="H4" s="35"/>
      <c r="I4" s="35"/>
      <c r="J4" s="76"/>
      <c r="K4" s="35">
        <v>720</v>
      </c>
      <c r="L4" s="35"/>
      <c r="M4" s="35"/>
      <c r="N4" s="76"/>
      <c r="O4" s="35">
        <v>720</v>
      </c>
      <c r="P4" s="35"/>
      <c r="Q4" s="35"/>
      <c r="R4" s="76"/>
      <c r="S4" s="35">
        <v>720</v>
      </c>
      <c r="T4" s="42"/>
      <c r="U4" s="42"/>
      <c r="V4" s="78"/>
      <c r="W4" s="43">
        <v>720</v>
      </c>
      <c r="X4" s="43"/>
      <c r="Y4" s="43"/>
      <c r="Z4" s="142"/>
      <c r="AA4" s="35">
        <v>720</v>
      </c>
      <c r="AB4" s="35">
        <f>'Payment Order-COAN'!O2+'Payment Order-COAN'!O3</f>
        <v>1306.8989999999999</v>
      </c>
      <c r="AC4" s="36" t="s">
        <v>100</v>
      </c>
      <c r="AD4" s="74"/>
      <c r="AE4" s="67">
        <v>720</v>
      </c>
      <c r="AF4" s="35">
        <f>'Payment Order-COAN'!P2+'Payment Order-COAN'!P3</f>
        <v>548.56633333333332</v>
      </c>
      <c r="AG4" s="36" t="s">
        <v>100</v>
      </c>
      <c r="AH4" s="72"/>
      <c r="AI4" s="35">
        <v>720</v>
      </c>
      <c r="AJ4" s="35">
        <f>'Payment Order-COAN'!Q2+'Payment Order-COAN'!Q3</f>
        <v>927.73266666666655</v>
      </c>
      <c r="AK4" s="36" t="s">
        <v>100</v>
      </c>
      <c r="AL4" s="72"/>
      <c r="AM4" s="35">
        <v>720</v>
      </c>
      <c r="AN4" s="35">
        <f>'Payment Order-COAN'!R2+'Payment Order-COAN'!R3</f>
        <v>927.73266666666655</v>
      </c>
      <c r="AO4" s="36" t="s">
        <v>100</v>
      </c>
      <c r="AP4" s="72"/>
      <c r="AQ4" s="35">
        <v>720</v>
      </c>
      <c r="AR4" s="35">
        <f>'Payment Order-COAN'!S2+'Payment Order-COAN'!S3</f>
        <v>927.73266666666655</v>
      </c>
      <c r="AS4" s="36" t="s">
        <v>100</v>
      </c>
      <c r="AT4" s="77"/>
      <c r="AU4" s="43">
        <v>720</v>
      </c>
      <c r="AV4" s="35">
        <f>'Payment Order-COAN'!T2+'Payment Order-COAN'!T3</f>
        <v>927.73266666666655</v>
      </c>
      <c r="AW4" s="36" t="s">
        <v>100</v>
      </c>
    </row>
    <row r="5" spans="1:49" s="41" customFormat="1" x14ac:dyDescent="0.25">
      <c r="A5" s="153"/>
      <c r="B5" s="63" t="s">
        <v>5</v>
      </c>
      <c r="C5" s="38">
        <v>0</v>
      </c>
      <c r="D5" s="38"/>
      <c r="E5" s="38"/>
      <c r="F5" s="76"/>
      <c r="G5" s="38">
        <v>1270</v>
      </c>
      <c r="H5" s="38"/>
      <c r="I5" s="38"/>
      <c r="J5" s="76"/>
      <c r="K5" s="38">
        <v>1270</v>
      </c>
      <c r="L5" s="38"/>
      <c r="M5" s="38"/>
      <c r="N5" s="76"/>
      <c r="O5" s="38">
        <v>1270</v>
      </c>
      <c r="P5" s="38"/>
      <c r="Q5" s="38"/>
      <c r="R5" s="76"/>
      <c r="S5" s="38">
        <v>1780</v>
      </c>
      <c r="T5" s="44"/>
      <c r="U5" s="44"/>
      <c r="V5" s="78"/>
      <c r="W5" s="45">
        <v>1440</v>
      </c>
      <c r="X5" s="45"/>
      <c r="Y5" s="45"/>
      <c r="Z5" s="142"/>
      <c r="AA5" s="38">
        <v>1780</v>
      </c>
      <c r="AB5" s="38">
        <f>AB3+AB4</f>
        <v>3776.279</v>
      </c>
      <c r="AC5" s="39"/>
      <c r="AD5" s="74"/>
      <c r="AE5" s="68">
        <v>2360</v>
      </c>
      <c r="AF5" s="38">
        <f>AF3+AF4</f>
        <v>1371.693</v>
      </c>
      <c r="AG5" s="38"/>
      <c r="AH5" s="76"/>
      <c r="AI5" s="38">
        <v>1780</v>
      </c>
      <c r="AJ5" s="38">
        <f>AJ3+AJ4</f>
        <v>2573.9859999999999</v>
      </c>
      <c r="AK5" s="38"/>
      <c r="AL5" s="76"/>
      <c r="AM5" s="38">
        <v>1780</v>
      </c>
      <c r="AN5" s="38">
        <f>AN3+AN4</f>
        <v>2573.9859999999999</v>
      </c>
      <c r="AO5" s="38"/>
      <c r="AP5" s="76"/>
      <c r="AQ5" s="38">
        <v>1780</v>
      </c>
      <c r="AR5" s="38">
        <f>AR3+AR4</f>
        <v>2573.9859999999999</v>
      </c>
      <c r="AS5" s="38"/>
      <c r="AT5" s="78"/>
      <c r="AU5" s="45">
        <v>2360</v>
      </c>
      <c r="AV5" s="38">
        <f>AV3+AV4</f>
        <v>2573.9859999999999</v>
      </c>
      <c r="AW5" s="38"/>
    </row>
    <row r="6" spans="1:49" x14ac:dyDescent="0.25">
      <c r="AA6" s="33" t="s">
        <v>103</v>
      </c>
      <c r="AB6" s="46">
        <f>AA5-AB5</f>
        <v>-1996.279</v>
      </c>
      <c r="AE6" s="33" t="s">
        <v>103</v>
      </c>
      <c r="AF6" s="33">
        <f>AE5-AF5</f>
        <v>988.30700000000002</v>
      </c>
      <c r="AI6" s="33" t="s">
        <v>103</v>
      </c>
      <c r="AJ6" s="46">
        <f>AI5-AJ5</f>
        <v>-793.98599999999988</v>
      </c>
      <c r="AM6" s="33" t="s">
        <v>103</v>
      </c>
      <c r="AN6" s="46">
        <f>AM5-AN5</f>
        <v>-793.98599999999988</v>
      </c>
      <c r="AQ6" s="33" t="s">
        <v>103</v>
      </c>
      <c r="AR6" s="46">
        <f>AQ5-AR5</f>
        <v>-793.98599999999988</v>
      </c>
      <c r="AU6" s="33" t="s">
        <v>103</v>
      </c>
      <c r="AV6" s="46">
        <f>AU5-AV5</f>
        <v>-213.98599999999988</v>
      </c>
    </row>
    <row r="7" spans="1:49" s="64" customFormat="1" ht="5.25" customHeight="1" x14ac:dyDescent="0.25">
      <c r="B7" s="65"/>
      <c r="AA7" s="65"/>
      <c r="AB7" s="65"/>
      <c r="AC7" s="70"/>
      <c r="AD7" s="71"/>
      <c r="AE7" s="65"/>
      <c r="AF7" s="65"/>
      <c r="AI7" s="65"/>
      <c r="AJ7" s="65"/>
      <c r="AM7" s="65"/>
      <c r="AN7" s="65"/>
      <c r="AQ7" s="65"/>
      <c r="AR7" s="65"/>
      <c r="AU7" s="65"/>
      <c r="AV7" s="65"/>
    </row>
    <row r="8" spans="1:49" x14ac:dyDescent="0.25">
      <c r="A8" s="158" t="s">
        <v>125</v>
      </c>
      <c r="B8" s="62" t="s">
        <v>104</v>
      </c>
      <c r="C8" s="35">
        <v>1640</v>
      </c>
      <c r="D8" s="35"/>
      <c r="E8" s="35"/>
      <c r="F8" s="76"/>
      <c r="G8" s="35">
        <v>1640</v>
      </c>
      <c r="H8" s="35"/>
      <c r="I8" s="35"/>
      <c r="J8" s="76"/>
      <c r="K8" s="35">
        <v>1640</v>
      </c>
      <c r="L8" s="35"/>
      <c r="M8" s="35"/>
      <c r="N8" s="76"/>
      <c r="O8" s="35">
        <v>1060</v>
      </c>
      <c r="P8" s="35"/>
      <c r="Q8" s="35"/>
      <c r="R8" s="76"/>
      <c r="S8" s="35">
        <v>1060</v>
      </c>
      <c r="T8" s="35"/>
      <c r="U8" s="35"/>
      <c r="V8" s="76"/>
      <c r="W8" s="35">
        <v>1640</v>
      </c>
      <c r="X8" s="35"/>
      <c r="Y8" s="35"/>
      <c r="Z8" s="76"/>
      <c r="AA8" s="35">
        <v>0</v>
      </c>
      <c r="AB8" s="35"/>
      <c r="AC8" s="36"/>
      <c r="AD8" s="74"/>
      <c r="AE8" s="67">
        <v>360</v>
      </c>
      <c r="AF8" s="35"/>
      <c r="AG8" s="35"/>
      <c r="AH8" s="76"/>
      <c r="AI8" s="35">
        <v>0</v>
      </c>
      <c r="AJ8" s="35"/>
      <c r="AK8" s="35"/>
      <c r="AL8" s="76"/>
      <c r="AM8" s="35">
        <v>550</v>
      </c>
      <c r="AN8" s="35"/>
      <c r="AO8" s="35"/>
      <c r="AP8" s="76"/>
      <c r="AQ8" s="35">
        <v>0</v>
      </c>
      <c r="AR8" s="35"/>
      <c r="AS8" s="35"/>
      <c r="AT8" s="76"/>
      <c r="AU8" s="35">
        <v>0</v>
      </c>
      <c r="AV8" s="35"/>
      <c r="AW8" s="35"/>
    </row>
    <row r="9" spans="1:49" x14ac:dyDescent="0.25">
      <c r="A9" s="152"/>
      <c r="B9" s="62" t="s">
        <v>105</v>
      </c>
      <c r="C9" s="35">
        <v>960</v>
      </c>
      <c r="D9" s="35"/>
      <c r="E9" s="35"/>
      <c r="F9" s="76"/>
      <c r="G9" s="35">
        <v>960</v>
      </c>
      <c r="H9" s="35"/>
      <c r="I9" s="35"/>
      <c r="J9" s="76"/>
      <c r="K9" s="35">
        <v>960</v>
      </c>
      <c r="L9" s="35"/>
      <c r="M9" s="35"/>
      <c r="N9" s="76"/>
      <c r="O9" s="35">
        <v>960</v>
      </c>
      <c r="P9" s="35"/>
      <c r="Q9" s="35"/>
      <c r="R9" s="76"/>
      <c r="S9" s="35">
        <v>960</v>
      </c>
      <c r="T9" s="35"/>
      <c r="U9" s="35"/>
      <c r="V9" s="76"/>
      <c r="W9" s="35">
        <v>960</v>
      </c>
      <c r="X9" s="35"/>
      <c r="Y9" s="35"/>
      <c r="Z9" s="76"/>
      <c r="AA9" s="35">
        <v>0</v>
      </c>
      <c r="AB9" s="35"/>
      <c r="AC9" s="36"/>
      <c r="AD9" s="74"/>
      <c r="AE9" s="67">
        <v>720</v>
      </c>
      <c r="AF9" s="35"/>
      <c r="AG9" s="35"/>
      <c r="AH9" s="76"/>
      <c r="AI9" s="35">
        <v>0</v>
      </c>
      <c r="AJ9" s="35"/>
      <c r="AK9" s="35"/>
      <c r="AL9" s="76"/>
      <c r="AM9" s="35">
        <v>480</v>
      </c>
      <c r="AN9" s="35"/>
      <c r="AO9" s="35"/>
      <c r="AP9" s="76"/>
      <c r="AQ9" s="35">
        <v>0</v>
      </c>
      <c r="AR9" s="35"/>
      <c r="AS9" s="35"/>
      <c r="AT9" s="76"/>
      <c r="AU9" s="35">
        <v>0</v>
      </c>
      <c r="AV9" s="35"/>
      <c r="AW9" s="35"/>
    </row>
    <row r="10" spans="1:49" s="41" customFormat="1" x14ac:dyDescent="0.25">
      <c r="A10" s="153"/>
      <c r="B10" s="63" t="s">
        <v>5</v>
      </c>
      <c r="C10" s="38">
        <v>2600</v>
      </c>
      <c r="D10" s="38"/>
      <c r="E10" s="38"/>
      <c r="F10" s="76"/>
      <c r="G10" s="38">
        <v>2360</v>
      </c>
      <c r="H10" s="38"/>
      <c r="I10" s="38"/>
      <c r="J10" s="76"/>
      <c r="K10" s="38">
        <v>2600</v>
      </c>
      <c r="L10" s="38"/>
      <c r="M10" s="38"/>
      <c r="N10" s="76"/>
      <c r="O10" s="38">
        <v>2020</v>
      </c>
      <c r="P10" s="38"/>
      <c r="Q10" s="38"/>
      <c r="R10" s="76"/>
      <c r="S10" s="38">
        <v>2020</v>
      </c>
      <c r="T10" s="38"/>
      <c r="U10" s="38"/>
      <c r="V10" s="76"/>
      <c r="W10" s="38">
        <v>2600</v>
      </c>
      <c r="X10" s="38"/>
      <c r="Y10" s="38"/>
      <c r="Z10" s="76"/>
      <c r="AA10" s="38">
        <v>0</v>
      </c>
      <c r="AB10" s="38">
        <f>6000/6</f>
        <v>1000</v>
      </c>
      <c r="AC10" s="38" t="s">
        <v>56</v>
      </c>
      <c r="AD10" s="74"/>
      <c r="AE10" s="68">
        <v>1080</v>
      </c>
      <c r="AF10" s="38">
        <f>6000/6</f>
        <v>1000</v>
      </c>
      <c r="AG10" s="38" t="s">
        <v>56</v>
      </c>
      <c r="AH10" s="76"/>
      <c r="AI10" s="38">
        <v>0</v>
      </c>
      <c r="AJ10" s="38">
        <f>6000/6</f>
        <v>1000</v>
      </c>
      <c r="AK10" s="38" t="s">
        <v>56</v>
      </c>
      <c r="AL10" s="76"/>
      <c r="AM10" s="38">
        <v>1030</v>
      </c>
      <c r="AN10" s="38">
        <f>6000/6</f>
        <v>1000</v>
      </c>
      <c r="AO10" s="38" t="s">
        <v>56</v>
      </c>
      <c r="AP10" s="76"/>
      <c r="AQ10" s="38">
        <v>0</v>
      </c>
      <c r="AR10" s="38">
        <f>6000/6</f>
        <v>1000</v>
      </c>
      <c r="AS10" s="38" t="s">
        <v>56</v>
      </c>
      <c r="AT10" s="76"/>
      <c r="AU10" s="38">
        <v>0</v>
      </c>
      <c r="AV10" s="38">
        <f>6000/6</f>
        <v>1000</v>
      </c>
      <c r="AW10" s="38" t="s">
        <v>56</v>
      </c>
    </row>
    <row r="11" spans="1:49" x14ac:dyDescent="0.25">
      <c r="A11" s="151" t="s">
        <v>98</v>
      </c>
      <c r="B11" s="62" t="s">
        <v>104</v>
      </c>
      <c r="C11" s="35">
        <v>1060</v>
      </c>
      <c r="D11" s="35"/>
      <c r="E11" s="35"/>
      <c r="F11" s="76"/>
      <c r="G11" s="35" t="s">
        <v>114</v>
      </c>
      <c r="H11" s="35"/>
      <c r="I11" s="35"/>
      <c r="J11" s="76"/>
      <c r="K11" s="35" t="s">
        <v>114</v>
      </c>
      <c r="L11" s="35"/>
      <c r="M11" s="35"/>
      <c r="N11" s="76"/>
      <c r="O11" s="35" t="s">
        <v>107</v>
      </c>
      <c r="P11" s="35"/>
      <c r="Q11" s="35"/>
      <c r="R11" s="76"/>
      <c r="S11" s="35" t="s">
        <v>107</v>
      </c>
      <c r="T11" s="35"/>
      <c r="U11" s="35"/>
      <c r="V11" s="76"/>
      <c r="W11" s="35" t="s">
        <v>106</v>
      </c>
      <c r="X11" s="35"/>
      <c r="Y11" s="35"/>
      <c r="Z11" s="76"/>
      <c r="AA11" s="35">
        <v>0</v>
      </c>
      <c r="AB11" s="35"/>
      <c r="AC11" s="35"/>
      <c r="AD11" s="74"/>
      <c r="AE11" s="67" t="s">
        <v>108</v>
      </c>
      <c r="AF11" s="35"/>
      <c r="AG11" s="35"/>
      <c r="AH11" s="76"/>
      <c r="AI11" s="35">
        <v>0</v>
      </c>
      <c r="AJ11" s="35"/>
      <c r="AK11" s="35"/>
      <c r="AL11" s="76"/>
      <c r="AM11" s="35" t="s">
        <v>109</v>
      </c>
      <c r="AN11" s="35"/>
      <c r="AO11" s="35"/>
      <c r="AP11" s="76"/>
      <c r="AQ11" s="35" t="s">
        <v>110</v>
      </c>
      <c r="AR11" s="35"/>
      <c r="AS11" s="35"/>
      <c r="AT11" s="76"/>
      <c r="AU11" s="35">
        <v>0</v>
      </c>
      <c r="AV11" s="35"/>
      <c r="AW11" s="35"/>
    </row>
    <row r="12" spans="1:49" x14ac:dyDescent="0.25">
      <c r="A12" s="152"/>
      <c r="B12" s="62" t="s">
        <v>105</v>
      </c>
      <c r="C12" s="35">
        <v>720</v>
      </c>
      <c r="D12" s="35"/>
      <c r="E12" s="35"/>
      <c r="F12" s="76"/>
      <c r="G12" s="35">
        <v>720</v>
      </c>
      <c r="H12" s="35"/>
      <c r="I12" s="35"/>
      <c r="J12" s="76"/>
      <c r="K12" s="35">
        <v>720</v>
      </c>
      <c r="L12" s="35"/>
      <c r="M12" s="35"/>
      <c r="N12" s="76"/>
      <c r="O12" s="35">
        <v>720</v>
      </c>
      <c r="P12" s="35"/>
      <c r="Q12" s="35"/>
      <c r="R12" s="76"/>
      <c r="S12" s="35">
        <v>720</v>
      </c>
      <c r="T12" s="35"/>
      <c r="U12" s="35"/>
      <c r="V12" s="76"/>
      <c r="W12" s="35">
        <v>720</v>
      </c>
      <c r="X12" s="35"/>
      <c r="Y12" s="35"/>
      <c r="Z12" s="76"/>
      <c r="AA12" s="35">
        <v>0</v>
      </c>
      <c r="AB12" s="35"/>
      <c r="AC12" s="35"/>
      <c r="AD12" s="74"/>
      <c r="AE12" s="67">
        <v>480</v>
      </c>
      <c r="AF12" s="35"/>
      <c r="AG12" s="35"/>
      <c r="AH12" s="76"/>
      <c r="AI12" s="35">
        <v>0</v>
      </c>
      <c r="AJ12" s="35"/>
      <c r="AK12" s="35"/>
      <c r="AL12" s="76"/>
      <c r="AM12" s="35">
        <v>720</v>
      </c>
      <c r="AN12" s="35"/>
      <c r="AO12" s="35"/>
      <c r="AP12" s="76"/>
      <c r="AQ12" s="35">
        <v>360</v>
      </c>
      <c r="AR12" s="35"/>
      <c r="AS12" s="35"/>
      <c r="AT12" s="76"/>
      <c r="AU12" s="35">
        <v>0</v>
      </c>
      <c r="AV12" s="35"/>
      <c r="AW12" s="35"/>
    </row>
    <row r="13" spans="1:49" s="41" customFormat="1" x14ac:dyDescent="0.25">
      <c r="A13" s="153"/>
      <c r="B13" s="63" t="s">
        <v>5</v>
      </c>
      <c r="C13" s="38">
        <v>2360</v>
      </c>
      <c r="D13" s="38"/>
      <c r="E13" s="38"/>
      <c r="F13" s="76"/>
      <c r="G13" s="38">
        <v>2360</v>
      </c>
      <c r="H13" s="38"/>
      <c r="I13" s="38"/>
      <c r="J13" s="76"/>
      <c r="K13" s="38">
        <v>2360</v>
      </c>
      <c r="L13" s="38"/>
      <c r="M13" s="38"/>
      <c r="N13" s="76"/>
      <c r="O13" s="38">
        <v>1780</v>
      </c>
      <c r="P13" s="38"/>
      <c r="Q13" s="38"/>
      <c r="R13" s="76"/>
      <c r="S13" s="38">
        <v>1780</v>
      </c>
      <c r="T13" s="38"/>
      <c r="U13" s="38"/>
      <c r="V13" s="76"/>
      <c r="W13" s="38">
        <v>2360</v>
      </c>
      <c r="X13" s="38"/>
      <c r="Y13" s="38"/>
      <c r="Z13" s="76"/>
      <c r="AA13" s="38">
        <v>0</v>
      </c>
      <c r="AB13" s="38">
        <v>392.91</v>
      </c>
      <c r="AC13" s="38" t="s">
        <v>56</v>
      </c>
      <c r="AD13" s="74"/>
      <c r="AE13" s="68">
        <v>840</v>
      </c>
      <c r="AF13" s="38">
        <v>392.91</v>
      </c>
      <c r="AG13" s="38" t="s">
        <v>56</v>
      </c>
      <c r="AH13" s="76"/>
      <c r="AI13" s="38">
        <v>0</v>
      </c>
      <c r="AJ13" s="38">
        <f>392.91+194</f>
        <v>586.91000000000008</v>
      </c>
      <c r="AK13" s="38" t="s">
        <v>102</v>
      </c>
      <c r="AL13" s="76"/>
      <c r="AM13" s="38">
        <v>1270</v>
      </c>
      <c r="AN13" s="38">
        <v>392.91</v>
      </c>
      <c r="AO13" s="38" t="s">
        <v>56</v>
      </c>
      <c r="AP13" s="76"/>
      <c r="AQ13" s="38">
        <v>635</v>
      </c>
      <c r="AR13" s="38">
        <v>392.91</v>
      </c>
      <c r="AS13" s="38" t="s">
        <v>56</v>
      </c>
      <c r="AT13" s="76"/>
      <c r="AU13" s="38">
        <v>0</v>
      </c>
      <c r="AV13" s="38">
        <v>392.91</v>
      </c>
      <c r="AW13" s="38" t="s">
        <v>56</v>
      </c>
    </row>
    <row r="14" spans="1:49" x14ac:dyDescent="0.25">
      <c r="AA14" s="33" t="s">
        <v>103</v>
      </c>
      <c r="AB14" s="46">
        <f>AA10-AB10+AA13-AB13</f>
        <v>-1392.91</v>
      </c>
      <c r="AE14" s="33" t="s">
        <v>103</v>
      </c>
      <c r="AF14" s="48">
        <f>AE10-AF10+AE13-AF13</f>
        <v>527.08999999999992</v>
      </c>
      <c r="AI14" s="33" t="s">
        <v>103</v>
      </c>
      <c r="AJ14" s="46">
        <f>AI10-AJ10+AI13-AJ13</f>
        <v>-1586.91</v>
      </c>
      <c r="AM14" s="33" t="s">
        <v>103</v>
      </c>
      <c r="AN14" s="48">
        <f>AM10-AN10+AM13-AN13</f>
        <v>907.08999999999992</v>
      </c>
      <c r="AQ14" s="33" t="s">
        <v>103</v>
      </c>
      <c r="AR14" s="46">
        <f>AQ10-AR10+AQ13-AR13</f>
        <v>-757.91000000000008</v>
      </c>
      <c r="AU14" s="33" t="s">
        <v>103</v>
      </c>
      <c r="AV14" s="46">
        <f>AU10-AV10+AU13-AV13</f>
        <v>-1392.91</v>
      </c>
      <c r="AW14" s="33"/>
    </row>
    <row r="15" spans="1:49" s="64" customFormat="1" ht="7.5" customHeight="1" x14ac:dyDescent="0.25">
      <c r="B15" s="65"/>
      <c r="AA15" s="65"/>
      <c r="AB15" s="65"/>
      <c r="AC15" s="70"/>
      <c r="AD15" s="71"/>
      <c r="AE15" s="65"/>
      <c r="AF15" s="65"/>
      <c r="AI15" s="65"/>
      <c r="AJ15" s="65"/>
      <c r="AM15" s="65"/>
      <c r="AN15" s="65"/>
      <c r="AQ15" s="65"/>
      <c r="AR15" s="65"/>
      <c r="AU15" s="65"/>
      <c r="AV15" s="65"/>
      <c r="AW15" s="65"/>
    </row>
    <row r="16" spans="1:49" x14ac:dyDescent="0.25">
      <c r="A16" s="151" t="s">
        <v>96</v>
      </c>
      <c r="B16" s="62" t="s">
        <v>104</v>
      </c>
      <c r="C16" s="35">
        <v>550</v>
      </c>
      <c r="D16" s="35"/>
      <c r="E16" s="35"/>
      <c r="F16" s="76"/>
      <c r="G16" s="35">
        <v>0</v>
      </c>
      <c r="H16" s="35"/>
      <c r="I16" s="35"/>
      <c r="J16" s="76"/>
      <c r="K16" s="35">
        <v>550</v>
      </c>
      <c r="L16" s="35"/>
      <c r="M16" s="35"/>
      <c r="N16" s="76"/>
      <c r="O16" s="35">
        <v>550</v>
      </c>
      <c r="P16" s="35"/>
      <c r="Q16" s="35"/>
      <c r="R16" s="76"/>
      <c r="S16" s="35">
        <v>720</v>
      </c>
      <c r="T16" s="35"/>
      <c r="U16" s="35"/>
      <c r="V16" s="76"/>
      <c r="W16" s="35">
        <v>550</v>
      </c>
      <c r="X16" s="35"/>
      <c r="Y16" s="35"/>
      <c r="Z16" s="76"/>
      <c r="AA16" s="35">
        <v>1640</v>
      </c>
      <c r="AB16" s="35">
        <f>'Payment Order-COAN'!O25</f>
        <v>4726.5</v>
      </c>
      <c r="AC16" s="32" t="s">
        <v>101</v>
      </c>
      <c r="AD16" s="74"/>
      <c r="AE16" s="67">
        <v>1640</v>
      </c>
      <c r="AF16" s="35">
        <f>'Payment Order-COAN'!P25</f>
        <v>3544.875</v>
      </c>
      <c r="AG16" s="32" t="s">
        <v>101</v>
      </c>
      <c r="AH16" s="76"/>
      <c r="AI16" s="35">
        <v>1640</v>
      </c>
      <c r="AJ16" s="35">
        <f>'Payment Order-COAN'!Q25</f>
        <v>4726.5</v>
      </c>
      <c r="AK16" s="32" t="s">
        <v>101</v>
      </c>
      <c r="AL16" s="76"/>
      <c r="AM16" s="35">
        <v>1640</v>
      </c>
      <c r="AN16" s="35">
        <f>'Payment Order-COAN'!R25</f>
        <v>2363.25</v>
      </c>
      <c r="AO16" s="32" t="s">
        <v>101</v>
      </c>
      <c r="AP16" s="76"/>
      <c r="AQ16" s="37">
        <v>1640</v>
      </c>
      <c r="AR16" s="35">
        <f>'Payment Order-COAN'!S25</f>
        <v>1181.625</v>
      </c>
      <c r="AS16" s="32" t="s">
        <v>101</v>
      </c>
      <c r="AT16" s="76"/>
      <c r="AU16" s="37">
        <v>1640</v>
      </c>
      <c r="AV16" s="35">
        <f>'Payment Order-COAN'!T25</f>
        <v>2363.25</v>
      </c>
      <c r="AW16" s="32" t="s">
        <v>101</v>
      </c>
    </row>
    <row r="17" spans="1:49" x14ac:dyDescent="0.25">
      <c r="A17" s="152"/>
      <c r="B17" s="62" t="s">
        <v>105</v>
      </c>
      <c r="C17" s="35">
        <v>720</v>
      </c>
      <c r="D17" s="35"/>
      <c r="E17" s="35"/>
      <c r="F17" s="76"/>
      <c r="G17" s="35">
        <v>0</v>
      </c>
      <c r="H17" s="35"/>
      <c r="I17" s="35"/>
      <c r="J17" s="76"/>
      <c r="K17" s="35">
        <v>720</v>
      </c>
      <c r="L17" s="35"/>
      <c r="M17" s="35"/>
      <c r="N17" s="76"/>
      <c r="O17" s="35">
        <v>720</v>
      </c>
      <c r="P17" s="35"/>
      <c r="Q17" s="35"/>
      <c r="R17" s="76"/>
      <c r="S17" s="35">
        <v>720</v>
      </c>
      <c r="T17" s="35"/>
      <c r="U17" s="35"/>
      <c r="V17" s="76"/>
      <c r="W17" s="35">
        <v>720</v>
      </c>
      <c r="X17" s="35"/>
      <c r="Y17" s="35"/>
      <c r="Z17" s="76"/>
      <c r="AA17" s="35">
        <v>720</v>
      </c>
      <c r="AB17" s="35">
        <f>'Payment Order-COAN'!O23</f>
        <v>1600</v>
      </c>
      <c r="AC17" s="79" t="s">
        <v>141</v>
      </c>
      <c r="AD17" s="74"/>
      <c r="AE17" s="67">
        <v>720</v>
      </c>
      <c r="AF17" s="35">
        <f>'Payment Order-COAN'!P23</f>
        <v>1600</v>
      </c>
      <c r="AG17" s="79" t="s">
        <v>141</v>
      </c>
      <c r="AH17" s="76"/>
      <c r="AI17" s="35">
        <v>720</v>
      </c>
      <c r="AJ17" s="35">
        <f>'Payment Order-COAN'!Q23</f>
        <v>1600</v>
      </c>
      <c r="AK17" s="79" t="s">
        <v>141</v>
      </c>
      <c r="AL17" s="76"/>
      <c r="AM17" s="35">
        <v>720</v>
      </c>
      <c r="AN17" s="35">
        <f>'Payment Order-COAN'!R23</f>
        <v>1600</v>
      </c>
      <c r="AO17" s="79" t="s">
        <v>141</v>
      </c>
      <c r="AP17" s="76"/>
      <c r="AQ17" s="37">
        <v>720</v>
      </c>
      <c r="AR17" s="35">
        <f>'Payment Order-COAN'!S23</f>
        <v>1600</v>
      </c>
      <c r="AS17" s="79" t="s">
        <v>141</v>
      </c>
      <c r="AT17" s="76"/>
      <c r="AU17" s="37">
        <v>720</v>
      </c>
      <c r="AV17" s="35">
        <f>'Payment Order-COAN'!T23</f>
        <v>1600</v>
      </c>
      <c r="AW17" s="79" t="s">
        <v>141</v>
      </c>
    </row>
    <row r="18" spans="1:49" x14ac:dyDescent="0.25">
      <c r="A18" s="153"/>
      <c r="B18" s="63" t="s">
        <v>5</v>
      </c>
      <c r="C18" s="38">
        <v>1270</v>
      </c>
      <c r="D18" s="38"/>
      <c r="E18" s="38"/>
      <c r="F18" s="76"/>
      <c r="G18" s="38">
        <v>0</v>
      </c>
      <c r="H18" s="38"/>
      <c r="I18" s="38"/>
      <c r="J18" s="76"/>
      <c r="K18" s="38">
        <v>1270</v>
      </c>
      <c r="L18" s="38"/>
      <c r="M18" s="38"/>
      <c r="N18" s="76"/>
      <c r="O18" s="38">
        <v>1270</v>
      </c>
      <c r="P18" s="38"/>
      <c r="Q18" s="38"/>
      <c r="R18" s="76"/>
      <c r="S18" s="38">
        <v>1440</v>
      </c>
      <c r="T18" s="38"/>
      <c r="U18" s="38"/>
      <c r="V18" s="76"/>
      <c r="W18" s="38">
        <v>1270</v>
      </c>
      <c r="X18" s="38"/>
      <c r="Y18" s="38"/>
      <c r="Z18" s="76"/>
      <c r="AA18" s="38">
        <v>2360</v>
      </c>
      <c r="AB18" s="38">
        <f>AB16+AB17</f>
        <v>6326.5</v>
      </c>
      <c r="AC18" s="39" t="s">
        <v>101</v>
      </c>
      <c r="AD18" s="74"/>
      <c r="AE18" s="68">
        <v>2360</v>
      </c>
      <c r="AF18" s="38">
        <f>AF16+AF17</f>
        <v>5144.875</v>
      </c>
      <c r="AG18" s="39" t="s">
        <v>101</v>
      </c>
      <c r="AH18" s="72"/>
      <c r="AI18" s="38">
        <v>2360</v>
      </c>
      <c r="AJ18" s="38">
        <f>AJ16+AJ17</f>
        <v>6326.5</v>
      </c>
      <c r="AK18" s="39" t="s">
        <v>101</v>
      </c>
      <c r="AL18" s="72"/>
      <c r="AM18" s="38">
        <v>2360</v>
      </c>
      <c r="AN18" s="38">
        <f>AN16+AN17</f>
        <v>3963.25</v>
      </c>
      <c r="AO18" s="39" t="s">
        <v>101</v>
      </c>
      <c r="AP18" s="72"/>
      <c r="AQ18" s="40">
        <v>2360</v>
      </c>
      <c r="AR18" s="38">
        <f>AR16+AR17</f>
        <v>2781.625</v>
      </c>
      <c r="AS18" s="39" t="s">
        <v>101</v>
      </c>
      <c r="AT18" s="72"/>
      <c r="AU18" s="40">
        <v>2360</v>
      </c>
      <c r="AV18" s="38">
        <f>AV16+AV17</f>
        <v>3963.25</v>
      </c>
      <c r="AW18" s="39" t="s">
        <v>101</v>
      </c>
    </row>
    <row r="19" spans="1:49" x14ac:dyDescent="0.25">
      <c r="AA19" s="33" t="s">
        <v>103</v>
      </c>
      <c r="AB19" s="46">
        <f>AA18-AB18</f>
        <v>-3966.5</v>
      </c>
      <c r="AE19" s="33" t="s">
        <v>103</v>
      </c>
      <c r="AF19" s="46">
        <f>AE18-AF18</f>
        <v>-2784.875</v>
      </c>
      <c r="AI19" s="33" t="s">
        <v>103</v>
      </c>
      <c r="AJ19" s="46">
        <f>AI18-AJ18</f>
        <v>-3966.5</v>
      </c>
      <c r="AM19" s="33" t="s">
        <v>103</v>
      </c>
      <c r="AN19" s="46">
        <f>AM18-AN18</f>
        <v>-1603.25</v>
      </c>
      <c r="AQ19" s="33" t="s">
        <v>103</v>
      </c>
      <c r="AR19" s="46">
        <f>AQ18-AR18</f>
        <v>-421.625</v>
      </c>
      <c r="AU19" s="33" t="s">
        <v>103</v>
      </c>
      <c r="AV19" s="46">
        <f>AU18-AV18</f>
        <v>-1603.25</v>
      </c>
    </row>
    <row r="21" spans="1:49" x14ac:dyDescent="0.25">
      <c r="A21" s="139" t="s">
        <v>115</v>
      </c>
      <c r="AB21" s="49"/>
      <c r="AJ21" s="49"/>
      <c r="AN21" s="49"/>
      <c r="AR21" s="49"/>
      <c r="AV21" s="49"/>
    </row>
  </sheetData>
  <mergeCells count="16">
    <mergeCell ref="A16:A18"/>
    <mergeCell ref="AU1:AW1"/>
    <mergeCell ref="AA1:AC1"/>
    <mergeCell ref="AE1:AG1"/>
    <mergeCell ref="AI1:AK1"/>
    <mergeCell ref="AM1:AO1"/>
    <mergeCell ref="AQ1:AS1"/>
    <mergeCell ref="G1:I1"/>
    <mergeCell ref="K1:M1"/>
    <mergeCell ref="O1:Q1"/>
    <mergeCell ref="S1:U1"/>
    <mergeCell ref="W1:Y1"/>
    <mergeCell ref="A3:A5"/>
    <mergeCell ref="A8:A10"/>
    <mergeCell ref="A11:A13"/>
    <mergeCell ref="C1:E1"/>
  </mergeCells>
  <pageMargins left="0.25" right="0.25" top="0.75" bottom="0.75" header="0.3" footer="0.3"/>
  <pageSetup paperSize="9" scale="48" fitToHeight="0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Summary</vt:lpstr>
      <vt:lpstr>Payment Order-COAN</vt:lpstr>
      <vt:lpstr>TRAVEL DETAILS</vt:lpstr>
    </vt:vector>
  </TitlesOfParts>
  <Company>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RICCIO</dc:creator>
  <cp:lastModifiedBy>Studio</cp:lastModifiedBy>
  <cp:lastPrinted>2017-11-16T18:01:32Z</cp:lastPrinted>
  <dcterms:created xsi:type="dcterms:W3CDTF">2017-07-19T09:24:52Z</dcterms:created>
  <dcterms:modified xsi:type="dcterms:W3CDTF">2017-12-18T12:22:37Z</dcterms:modified>
</cp:coreProperties>
</file>